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建筑工程学院" sheetId="5" r:id="rId1"/>
    <sheet name="智能制造与电梯学院" sheetId="11" r:id="rId2"/>
    <sheet name="新能源工程与汽车学院" sheetId="8" r:id="rId3"/>
    <sheet name="-信息工程与物联网学院" sheetId="9" r:id="rId4"/>
    <sheet name="艺术与时尚创意学院" sheetId="10" r:id="rId5"/>
    <sheet name="经济管理与电商学院" sheetId="4" r:id="rId6"/>
    <sheet name="旅游管理学院" sheetId="6" r:id="rId7"/>
    <sheet name="社会发展与公共教育学院" sheetId="12" r:id="rId8"/>
    <sheet name="党群（马院部分）" sheetId="13" r:id="rId9"/>
    <sheet name="公共机房" sheetId="14" r:id="rId10"/>
    <sheet name="继续教育" sheetId="15" r:id="rId11"/>
    <sheet name="创业学院" sheetId="17" r:id="rId12"/>
    <sheet name="各级学院所需耗材纸箱" sheetId="18" r:id="rId13"/>
    <sheet name="实训处高清球形摄像头" sheetId="19" r:id="rId14"/>
  </sheets>
  <definedNames>
    <definedName name="_xlnm._FilterDatabase" localSheetId="0" hidden="1">建筑工程学院!$B$1:$D$1011</definedName>
    <definedName name="_xlnm._FilterDatabase" localSheetId="1" hidden="1">智能制造与电梯学院!$A$1:$XFB$1365</definedName>
    <definedName name="_xlnm._FilterDatabase" localSheetId="2" hidden="1">新能源工程与汽车学院!$B$1:$E$595</definedName>
    <definedName name="_xlnm._FilterDatabase" localSheetId="3" hidden="1">'-信息工程与物联网学院'!$A$1:$F$1362</definedName>
    <definedName name="_xlnm._FilterDatabase" localSheetId="4" hidden="1">艺术与时尚创意学院!$A$1:$F$65476</definedName>
    <definedName name="_xlnm._FilterDatabase" localSheetId="5" hidden="1">经济管理与电商学院!$A$1:$E$985</definedName>
    <definedName name="_xlnm._FilterDatabase" localSheetId="6" hidden="1">旅游管理学院!$A$1:$E$384</definedName>
    <definedName name="_xlnm._FilterDatabase" localSheetId="7" hidden="1">社会发展与公共教育学院!$A$1:$E$65526</definedName>
    <definedName name="_xlnm._FilterDatabase" localSheetId="8" hidden="1">'党群（马院部分）'!$A$1:$C$12</definedName>
    <definedName name="_xlnm._FilterDatabase" localSheetId="9" hidden="1">公共机房!$A$1:$C$1229</definedName>
    <definedName name="_xlnm._FilterDatabase" localSheetId="10" hidden="1">继续教育!$A$1:$C$721</definedName>
    <definedName name="_xlnm._FilterDatabase" localSheetId="11" hidden="1">创业学院!$A$1:$E$8</definedName>
    <definedName name="_xlnm._FilterDatabase" localSheetId="13" hidden="1">实训处高清球形摄像头!$A$1:$C$56</definedName>
    <definedName name="_xlnm.Print_Titles" localSheetId="6">旅游管理学院!$A$1:$IT$1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<sst xmlns="http://schemas.openxmlformats.org/spreadsheetml/2006/main" count="35191" uniqueCount="5253">
  <si>
    <t>领用单位</t>
  </si>
  <si>
    <t>仪器编号</t>
  </si>
  <si>
    <t>仪器名称</t>
  </si>
  <si>
    <t>处置方式</t>
  </si>
  <si>
    <t>数量</t>
  </si>
  <si>
    <t>建筑工程学院</t>
  </si>
  <si>
    <t>全站仪</t>
  </si>
  <si>
    <t>搬迁</t>
  </si>
  <si>
    <t>电子水准仪</t>
  </si>
  <si>
    <t>手持光电测距仪</t>
  </si>
  <si>
    <t>铟钢水标准尺</t>
  </si>
  <si>
    <t>华测静态GPS测量系统</t>
  </si>
  <si>
    <t>万能试验机</t>
  </si>
  <si>
    <t>光学显微镜</t>
  </si>
  <si>
    <t>冻融实验箱</t>
  </si>
  <si>
    <t>应力测试分析系统（含软件）</t>
  </si>
  <si>
    <t>应力位移传感器</t>
  </si>
  <si>
    <t>十字板剪切仪</t>
  </si>
  <si>
    <t>微型贯入仪</t>
  </si>
  <si>
    <t>预钻式旁压仪</t>
  </si>
  <si>
    <t>水泥恒温恒湿养护箱</t>
  </si>
  <si>
    <t>电感耦合等离子发射光谱仪</t>
  </si>
  <si>
    <t>钢结构超声波探伤仪</t>
  </si>
  <si>
    <t>混凝土无损检测仪</t>
  </si>
  <si>
    <t>钢筋打点机</t>
  </si>
  <si>
    <t>电液伺服压力试验机</t>
  </si>
  <si>
    <t>电子式万能试验机</t>
  </si>
  <si>
    <t>电液伺服万能试验机</t>
  </si>
  <si>
    <t>混凝土磁性振动台</t>
  </si>
  <si>
    <t>搅拌机</t>
  </si>
  <si>
    <t>胶砂搅拌仪</t>
  </si>
  <si>
    <t>水泥胶砂振动台</t>
  </si>
  <si>
    <t>电动抗折仪</t>
  </si>
  <si>
    <t>成本测算软件</t>
  </si>
  <si>
    <t>软件搬迁</t>
  </si>
  <si>
    <t>触控一体机</t>
  </si>
  <si>
    <t>能力训练与测评软件</t>
  </si>
  <si>
    <t>3D动画教学系统</t>
  </si>
  <si>
    <t>功率放大器</t>
  </si>
  <si>
    <t>微型小台锯</t>
  </si>
  <si>
    <t>钢管拱桥模型</t>
  </si>
  <si>
    <t>VR硬件及行走平台</t>
  </si>
  <si>
    <t>VR一体机眼镜</t>
  </si>
  <si>
    <t>VR体验椅</t>
  </si>
  <si>
    <t>小型精密模拟地震振动台</t>
  </si>
  <si>
    <t>吊装设备</t>
  </si>
  <si>
    <t>预制构件系列模型</t>
  </si>
  <si>
    <t>装配式建筑可拆装模型</t>
  </si>
  <si>
    <t>建筑抗震隔震模型</t>
  </si>
  <si>
    <t>投影仪</t>
  </si>
  <si>
    <t>吊装与套筒灌浆实训设备</t>
  </si>
  <si>
    <t>装配式预制构件生产模台</t>
  </si>
  <si>
    <t>剪力墙内墙板模具及配件</t>
  </si>
  <si>
    <t>预制柱制作磨具及配件</t>
  </si>
  <si>
    <t>仿真预制剪力墙外墙板</t>
  </si>
  <si>
    <t>外挂墙板</t>
  </si>
  <si>
    <t>钢框架</t>
  </si>
  <si>
    <t>叠合楼梯</t>
  </si>
  <si>
    <t>预制楼梯</t>
  </si>
  <si>
    <t>预制柱</t>
  </si>
  <si>
    <t>墙柱安装底座</t>
  </si>
  <si>
    <t>叠合梁</t>
  </si>
  <si>
    <t>PCF板</t>
  </si>
  <si>
    <t>龙门吊</t>
  </si>
  <si>
    <t>支撑及靠放架</t>
  </si>
  <si>
    <t>模板及钢筋</t>
  </si>
  <si>
    <t>辅助吊装设备</t>
  </si>
  <si>
    <t>剪力墙半套筒灌浆装置</t>
  </si>
  <si>
    <t>预制柱半套筒灌浆装置</t>
  </si>
  <si>
    <t>电动灌浆装置</t>
  </si>
  <si>
    <t>辅助灌浆装置</t>
  </si>
  <si>
    <t>接缝防水施工实训装置</t>
  </si>
  <si>
    <t>接缝防水施工技能考核装置</t>
  </si>
  <si>
    <t>收纳整理箱</t>
  </si>
  <si>
    <t>8T企业数据存储</t>
  </si>
  <si>
    <t>硬盘录像机</t>
  </si>
  <si>
    <t>裂缝深度和钢管脱空检测模型</t>
  </si>
  <si>
    <t>视频监控系统</t>
  </si>
  <si>
    <t>报废</t>
  </si>
  <si>
    <t>Midas Civil软件</t>
  </si>
  <si>
    <t>品茗智慧工地教学实训系统</t>
  </si>
  <si>
    <t>品茗VR安全教育系统软件</t>
  </si>
  <si>
    <t>市政道桥工程信息化虚拟仿真</t>
  </si>
  <si>
    <t>道桥识图虚拟仿真实训系统</t>
  </si>
  <si>
    <t>土建算量软件</t>
  </si>
  <si>
    <t>钢筋算量软件</t>
  </si>
  <si>
    <t>BIM安装算量软件</t>
  </si>
  <si>
    <t>计价软件</t>
  </si>
  <si>
    <t>梦龙快速投标制作系统软件</t>
  </si>
  <si>
    <t>施工现场三维布置软件</t>
  </si>
  <si>
    <t>BIM5D软件</t>
  </si>
  <si>
    <t>图形对量软件软件</t>
  </si>
  <si>
    <t>管鲍在线考试系统软件</t>
  </si>
  <si>
    <t>建筑识图能力评价系统</t>
  </si>
  <si>
    <t>路由器</t>
  </si>
  <si>
    <t>交换机</t>
  </si>
  <si>
    <t>微型电子计算机</t>
  </si>
  <si>
    <t>1+X建筑识图CAD软件</t>
  </si>
  <si>
    <t>CAD软件升级建筑模块</t>
  </si>
  <si>
    <t>建筑工程识图能力实训评价软件</t>
  </si>
  <si>
    <t>图形工作站</t>
  </si>
  <si>
    <t>非实训室</t>
  </si>
  <si>
    <t>敏捷建模软件</t>
  </si>
  <si>
    <t>工作站</t>
  </si>
  <si>
    <t>族库系统</t>
  </si>
  <si>
    <t>施工软件</t>
  </si>
  <si>
    <t>BIM教学资源库</t>
  </si>
  <si>
    <t>市政预算软件</t>
  </si>
  <si>
    <t>桌几</t>
  </si>
  <si>
    <t>工程投影幕布</t>
  </si>
  <si>
    <t>核心能力实训钢筋平法三维仿真系统</t>
  </si>
  <si>
    <t>建筑施工组织三维虚拟仿真系统</t>
  </si>
  <si>
    <t>广联达钢筋对量软件1.0</t>
  </si>
  <si>
    <t>建筑管理软件</t>
  </si>
  <si>
    <t>装配式建筑深化设计软件50节点</t>
  </si>
  <si>
    <t>装配式建筑职业技能实训系统20节点</t>
  </si>
  <si>
    <t>品茗BIM技能实训模拟考试系统</t>
  </si>
  <si>
    <t>BIM工作站</t>
  </si>
  <si>
    <t>24口千兆交换机</t>
  </si>
  <si>
    <t>数字打印机</t>
  </si>
  <si>
    <t>笔记本电脑</t>
  </si>
  <si>
    <t>彩色电视机</t>
  </si>
  <si>
    <t>建筑模型、建筑结构教学模型</t>
  </si>
  <si>
    <t>台式机</t>
  </si>
  <si>
    <t>微机工作站</t>
  </si>
  <si>
    <t>钢筋平法与技术仿真实训软件</t>
  </si>
  <si>
    <t>施工安全设施计算软件</t>
  </si>
  <si>
    <t>建模翻模深化设计软件</t>
  </si>
  <si>
    <t>工程建造智慧管理实训平台</t>
  </si>
  <si>
    <t>建筑工程岗位实训系统</t>
  </si>
  <si>
    <t>网络机柜</t>
  </si>
  <si>
    <t>广联达指标软件</t>
  </si>
  <si>
    <t>广联达材料价格软件</t>
  </si>
  <si>
    <t>钢结构实训项目</t>
  </si>
  <si>
    <t>部分搬迁</t>
  </si>
  <si>
    <t>心肺复苏模拟人</t>
  </si>
  <si>
    <t>施工分配电箱</t>
  </si>
  <si>
    <t>登高作业凳</t>
  </si>
  <si>
    <t>门式钢架模型</t>
  </si>
  <si>
    <t>对焊机</t>
  </si>
  <si>
    <t>弯曲机</t>
  </si>
  <si>
    <t>切断机</t>
  </si>
  <si>
    <t>调直机</t>
  </si>
  <si>
    <t>弯箍机</t>
  </si>
  <si>
    <t>空气去湿机</t>
  </si>
  <si>
    <t>雕刻机</t>
  </si>
  <si>
    <t>冷焊机</t>
  </si>
  <si>
    <t>激振器</t>
  </si>
  <si>
    <t>加载工具及砝码</t>
  </si>
  <si>
    <t>信号源</t>
  </si>
  <si>
    <t>位移计米器</t>
  </si>
  <si>
    <t>振筛仪</t>
  </si>
  <si>
    <t>沥青马歇尔稳定度</t>
  </si>
  <si>
    <t>恒温水浴箱</t>
  </si>
  <si>
    <t>马歇尔电动击实仪</t>
  </si>
  <si>
    <t>沥青针入度仪</t>
  </si>
  <si>
    <t>沥青软化点测定仪</t>
  </si>
  <si>
    <t>沥青延伸仪</t>
  </si>
  <si>
    <t>电热干燥箱</t>
  </si>
  <si>
    <t>沥青自动混合搅拌机</t>
  </si>
  <si>
    <t>静力天平</t>
  </si>
  <si>
    <t>电子天平</t>
  </si>
  <si>
    <t>市政桥梁实训设备</t>
  </si>
  <si>
    <t>培训椅50</t>
  </si>
  <si>
    <t>单人位桌椅3</t>
  </si>
  <si>
    <t>大屏幕</t>
  </si>
  <si>
    <t>建筑模型拱桥模型</t>
  </si>
  <si>
    <t>互动终端</t>
  </si>
  <si>
    <t>无线投屏器</t>
  </si>
  <si>
    <t>电源时序器</t>
  </si>
  <si>
    <t>液晶控制屏</t>
  </si>
  <si>
    <t>数字红外无线主机</t>
  </si>
  <si>
    <t>助教软件</t>
  </si>
  <si>
    <t>多媒体中控</t>
  </si>
  <si>
    <t>钢木讲台</t>
  </si>
  <si>
    <t>智慧黑板</t>
  </si>
  <si>
    <t>双频千兆无线AP</t>
  </si>
  <si>
    <t>显示器</t>
  </si>
  <si>
    <t>充电底座</t>
  </si>
  <si>
    <t>多功能控制器</t>
  </si>
  <si>
    <t>大屏显示终端</t>
  </si>
  <si>
    <t>活动课桌椅</t>
  </si>
  <si>
    <t>大屏幕显示器</t>
  </si>
  <si>
    <t>经纬仪</t>
  </si>
  <si>
    <t>水准仪</t>
  </si>
  <si>
    <t>光学经纬仪</t>
  </si>
  <si>
    <t>电子测距仪</t>
  </si>
  <si>
    <t>水标尺</t>
  </si>
  <si>
    <t>电子经纬仪</t>
  </si>
  <si>
    <t>垂准仪</t>
  </si>
  <si>
    <t>对讲机</t>
  </si>
  <si>
    <t>GNSS</t>
  </si>
  <si>
    <t>钢筋混凝土检测仪</t>
  </si>
  <si>
    <t>数显砼回弹仪</t>
  </si>
  <si>
    <t>涂层测厚仪</t>
  </si>
  <si>
    <t>钢筋锈蚀检测仪</t>
  </si>
  <si>
    <t>锚杆拉拔仪</t>
  </si>
  <si>
    <t>超声波探伤仪</t>
  </si>
  <si>
    <t>贯入法侧砂浆强度检测仪</t>
  </si>
  <si>
    <t>楼板测厚仪</t>
  </si>
  <si>
    <t>裂缝宽度观测仪</t>
  </si>
  <si>
    <t>裂缝测探仪</t>
  </si>
  <si>
    <t>碳化深度仪</t>
  </si>
  <si>
    <t>建筑工程检测器</t>
  </si>
  <si>
    <t>百分表</t>
  </si>
  <si>
    <t>基桩动测仪</t>
  </si>
  <si>
    <t>无核密度仪</t>
  </si>
  <si>
    <t>仪器呈物架</t>
  </si>
  <si>
    <t>工具套装</t>
  </si>
  <si>
    <t>摆式摩擦系数测定仪</t>
  </si>
  <si>
    <t>贝克曼梁弯沉测定仪</t>
  </si>
  <si>
    <t>路面渗水仪</t>
  </si>
  <si>
    <t>构造深度仪</t>
  </si>
  <si>
    <t>灌砂筒</t>
  </si>
  <si>
    <t>沥青混凝土取芯机</t>
  </si>
  <si>
    <t>自动安平水准仪</t>
  </si>
  <si>
    <t>激光垂直仪</t>
  </si>
  <si>
    <t>激光水平仪</t>
  </si>
  <si>
    <t>三维激光扫描机器人</t>
  </si>
  <si>
    <t>无人机+超声检测</t>
  </si>
  <si>
    <t>软件</t>
  </si>
  <si>
    <t>路基路面桥梁检测</t>
  </si>
  <si>
    <t>装配式AR立体图集软件</t>
  </si>
  <si>
    <t>主控机</t>
  </si>
  <si>
    <t>数字采集仪</t>
  </si>
  <si>
    <t>承载比实验仪</t>
  </si>
  <si>
    <t>抗压试验机</t>
  </si>
  <si>
    <t>混凝土渗透仪</t>
  </si>
  <si>
    <t>弹性测试仪</t>
  </si>
  <si>
    <t>中望建筑CAD软件</t>
  </si>
  <si>
    <t>BIM管理平台</t>
  </si>
  <si>
    <t>笔记本电脑（便携式计算机）</t>
  </si>
  <si>
    <t>自动检测设备</t>
  </si>
  <si>
    <t>超微机工作站</t>
  </si>
  <si>
    <t>音响+功放</t>
  </si>
  <si>
    <t>LED显示屏</t>
  </si>
  <si>
    <t>搬走</t>
  </si>
  <si>
    <t>智能制造与电梯学院</t>
  </si>
  <si>
    <t>20230944</t>
  </si>
  <si>
    <t>20230945</t>
  </si>
  <si>
    <t>20230946</t>
  </si>
  <si>
    <t>20230947</t>
  </si>
  <si>
    <t>20240704</t>
  </si>
  <si>
    <t>江波云桌面管理系统（40个点）</t>
  </si>
  <si>
    <t>20240360</t>
  </si>
  <si>
    <t>20240361</t>
  </si>
  <si>
    <t>20230942</t>
  </si>
  <si>
    <t>20230943</t>
  </si>
  <si>
    <t>20230895</t>
  </si>
  <si>
    <t>20230896</t>
  </si>
  <si>
    <t>20230897</t>
  </si>
  <si>
    <t>20230898</t>
  </si>
  <si>
    <t>20230899</t>
  </si>
  <si>
    <t>20230900</t>
  </si>
  <si>
    <t>20230901</t>
  </si>
  <si>
    <t>20230902</t>
  </si>
  <si>
    <t>20230903</t>
  </si>
  <si>
    <t>20230904</t>
  </si>
  <si>
    <t>20230905</t>
  </si>
  <si>
    <t>20230906</t>
  </si>
  <si>
    <t>20230907</t>
  </si>
  <si>
    <t>20230908</t>
  </si>
  <si>
    <t>20230909</t>
  </si>
  <si>
    <t>20230910</t>
  </si>
  <si>
    <t>20230911</t>
  </si>
  <si>
    <t>20230912</t>
  </si>
  <si>
    <t>20230913</t>
  </si>
  <si>
    <t>20230914</t>
  </si>
  <si>
    <t>20230915</t>
  </si>
  <si>
    <t>20230916</t>
  </si>
  <si>
    <t>20230917</t>
  </si>
  <si>
    <t>20230918</t>
  </si>
  <si>
    <t>20230919</t>
  </si>
  <si>
    <t>20230920</t>
  </si>
  <si>
    <t>20230921</t>
  </si>
  <si>
    <t>20230922</t>
  </si>
  <si>
    <t>20230923</t>
  </si>
  <si>
    <t>20230924</t>
  </si>
  <si>
    <t>20230925</t>
  </si>
  <si>
    <t>20230926</t>
  </si>
  <si>
    <t>20230927</t>
  </si>
  <si>
    <t>20230928</t>
  </si>
  <si>
    <t>20230929</t>
  </si>
  <si>
    <t>专用服务器</t>
  </si>
  <si>
    <t>20180807</t>
  </si>
  <si>
    <t>触摸一体机</t>
  </si>
  <si>
    <t>电脑桌</t>
  </si>
  <si>
    <t>电脑椅</t>
  </si>
  <si>
    <t>平台软件</t>
  </si>
  <si>
    <t>数控虚拟铣床</t>
  </si>
  <si>
    <t>数控虚拟车床</t>
  </si>
  <si>
    <t>数字化创新设计平台</t>
  </si>
  <si>
    <t>双系统数控车床</t>
  </si>
  <si>
    <t>数控技术培训机</t>
  </si>
  <si>
    <t>内嵌式走廊陈列</t>
  </si>
  <si>
    <t>其他元件器件参数测量仪</t>
  </si>
  <si>
    <t>电子计算机</t>
  </si>
  <si>
    <t>王勇借</t>
  </si>
  <si>
    <t>孙勤良借</t>
  </si>
  <si>
    <t>空压机</t>
  </si>
  <si>
    <t>冷干机</t>
  </si>
  <si>
    <t>前置精密过滤器</t>
  </si>
  <si>
    <t>中置精密过滤器</t>
  </si>
  <si>
    <t>后置精密过滤器</t>
  </si>
  <si>
    <t>储气罐</t>
  </si>
  <si>
    <t>空调机</t>
  </si>
  <si>
    <t>空压机储气罐</t>
  </si>
  <si>
    <t>15-1</t>
  </si>
  <si>
    <t>双系统数控铣床</t>
  </si>
  <si>
    <t>机床</t>
  </si>
  <si>
    <t>铣床</t>
  </si>
  <si>
    <t>除尘砂轮机</t>
  </si>
  <si>
    <t>型材切割机</t>
  </si>
  <si>
    <t>钻攻两用机</t>
  </si>
  <si>
    <t>锯床</t>
  </si>
  <si>
    <t>精密平口钳</t>
  </si>
  <si>
    <t>立式加工中心</t>
  </si>
  <si>
    <t>FB刀具车等</t>
  </si>
  <si>
    <t>20170575</t>
  </si>
  <si>
    <t>精密平口虎钳</t>
  </si>
  <si>
    <t>20170576</t>
  </si>
  <si>
    <t>20170577</t>
  </si>
  <si>
    <t>20170578</t>
  </si>
  <si>
    <t>20170579</t>
  </si>
  <si>
    <t>20170580</t>
  </si>
  <si>
    <t>20170581</t>
  </si>
  <si>
    <t>20170582</t>
  </si>
  <si>
    <t>20051861</t>
  </si>
  <si>
    <t>四工位钳工专用桌</t>
  </si>
  <si>
    <t>20051863</t>
  </si>
  <si>
    <t>音响</t>
  </si>
  <si>
    <t>高端数控车床</t>
  </si>
  <si>
    <t>数控车床</t>
  </si>
  <si>
    <t>程控器</t>
  </si>
  <si>
    <t>智能电梯安装与调试考核装置</t>
  </si>
  <si>
    <t>电梯控制技术实训装置</t>
  </si>
  <si>
    <t>智能电梯综合实训考核平台</t>
  </si>
  <si>
    <t>投影机</t>
  </si>
  <si>
    <t>15321-1</t>
  </si>
  <si>
    <t>工业机器人与生产物流系统</t>
  </si>
  <si>
    <t>空气压缩泵</t>
  </si>
  <si>
    <t>液压站</t>
  </si>
  <si>
    <t>电控柜</t>
  </si>
  <si>
    <t>冷却系统</t>
  </si>
  <si>
    <t>服务器机柜</t>
  </si>
  <si>
    <t>瘦终端</t>
  </si>
  <si>
    <t>服务器虚拟化软件</t>
  </si>
  <si>
    <t>虚拟桌面发布平台</t>
  </si>
  <si>
    <t>用户接入授权点</t>
  </si>
  <si>
    <t>桌面云一体机</t>
  </si>
  <si>
    <t>3D打印机</t>
  </si>
  <si>
    <t>江波云桌面管理系统（20个点）</t>
  </si>
  <si>
    <t>超高速3D打印机</t>
  </si>
  <si>
    <t>手动扫描仪</t>
  </si>
  <si>
    <t>手持扫描仪</t>
  </si>
  <si>
    <t>win3DD扫描仪</t>
  </si>
  <si>
    <t>电梯安装与调试虚拟仿真软件</t>
  </si>
  <si>
    <t>机械CAD教育版软件50套</t>
  </si>
  <si>
    <t>3D平台设计教育软件50套</t>
  </si>
  <si>
    <t>机械工程识图能力实训评价软件</t>
  </si>
  <si>
    <t>中望3D结构仿真教育版组件V2023</t>
  </si>
  <si>
    <t>微型电子计算机(教师机)</t>
  </si>
  <si>
    <t>机柜</t>
  </si>
  <si>
    <t>汽车营销大赛机试系统</t>
  </si>
  <si>
    <t>电子交换机</t>
  </si>
  <si>
    <t>音频设备</t>
  </si>
  <si>
    <t>实训桌椅</t>
  </si>
  <si>
    <t>双面移动板</t>
  </si>
  <si>
    <t>机械CAD教育软件61套</t>
  </si>
  <si>
    <t>3D平台设计教育版软件30套</t>
  </si>
  <si>
    <t>3D平台设计教育版软件31套</t>
  </si>
  <si>
    <t>15109待搬迁</t>
  </si>
  <si>
    <t>智能反馈消除器</t>
  </si>
  <si>
    <t>液压传动与PLC实训装置</t>
  </si>
  <si>
    <t>全自动PLC实训装置</t>
  </si>
  <si>
    <t>界面话筒</t>
  </si>
  <si>
    <t>智能传感器实训平台</t>
  </si>
  <si>
    <t>信号发生器</t>
  </si>
  <si>
    <t>稳压电源</t>
  </si>
  <si>
    <t>示波器</t>
  </si>
  <si>
    <t>函数信号发生器</t>
  </si>
  <si>
    <t>电机及自动控制装置</t>
  </si>
  <si>
    <t>供配电技术综合实验系统</t>
  </si>
  <si>
    <t>电气安装与维修实训考核装置</t>
  </si>
  <si>
    <t>工业自动化实验仪器及装置（罗克韦尔）</t>
  </si>
  <si>
    <t>变频器</t>
  </si>
  <si>
    <t>铣床智能实训考核台</t>
  </si>
  <si>
    <t>磨床电路智能实训台</t>
  </si>
  <si>
    <t>摇臂钻床智能实训台</t>
  </si>
  <si>
    <t>铣床电路智能实训考核装置</t>
  </si>
  <si>
    <t>外圆磨床实训考核装置</t>
  </si>
  <si>
    <t>摇臂钻床电路智能实训考核装置</t>
  </si>
  <si>
    <t>钻床</t>
  </si>
  <si>
    <t>磨床</t>
  </si>
  <si>
    <t>新型高级电工实训考核装置</t>
  </si>
  <si>
    <t>PLC高级电工实训考核台</t>
  </si>
  <si>
    <t>高级电工实训考核台</t>
  </si>
  <si>
    <t>高级电工实验考核装置</t>
  </si>
  <si>
    <t>变频器主机控制板</t>
  </si>
  <si>
    <t>拆除用单级减速器</t>
  </si>
  <si>
    <t>拆装用双级减速器</t>
  </si>
  <si>
    <t>周转轮系</t>
  </si>
  <si>
    <t>带传动试验台</t>
  </si>
  <si>
    <t>链传动试验台</t>
  </si>
  <si>
    <t>音响等</t>
  </si>
  <si>
    <t>交互式一体电视机</t>
  </si>
  <si>
    <t>系统</t>
  </si>
  <si>
    <t>DCS技术应用实训装置</t>
  </si>
  <si>
    <t>分布式过程控制实验系统</t>
  </si>
  <si>
    <t>可编程控制器综合实训箱（西门子）</t>
  </si>
  <si>
    <t>机柜（含电源交换机）</t>
  </si>
  <si>
    <t>自动生产线拆装与调试实训装置</t>
  </si>
  <si>
    <t>控制柜</t>
  </si>
  <si>
    <t>过程控制网络化改造</t>
  </si>
  <si>
    <t>S7200控制系统</t>
  </si>
  <si>
    <t>S7300控制系统</t>
  </si>
  <si>
    <t>过程控制系统</t>
  </si>
  <si>
    <t>工业以太网现场总线系统</t>
  </si>
  <si>
    <t>高级过程控制装置</t>
  </si>
  <si>
    <t>高级过程控制系统实验装置</t>
  </si>
  <si>
    <t>旧设备大修</t>
  </si>
  <si>
    <t>过程控制实验平台</t>
  </si>
  <si>
    <t>可以搬迁</t>
  </si>
  <si>
    <t>高级过程控制实验装置</t>
  </si>
  <si>
    <t>工业互联网集成应用实训平台</t>
  </si>
  <si>
    <t>天罗物联网平台</t>
  </si>
  <si>
    <t>直流电阻箱</t>
  </si>
  <si>
    <t>手动电位差计</t>
  </si>
  <si>
    <t>直流豪安表</t>
  </si>
  <si>
    <t>实验用水台</t>
  </si>
  <si>
    <t>活塞式压力计</t>
  </si>
  <si>
    <t>电压表</t>
  </si>
  <si>
    <t>变送器</t>
  </si>
  <si>
    <t>电脑凳</t>
  </si>
  <si>
    <t>数字化生产单元应用实践系统</t>
  </si>
  <si>
    <t>离散行业智能制造实训系统</t>
  </si>
  <si>
    <t>智能产线MES制造执行系统</t>
  </si>
  <si>
    <t>智能产线虚拟调试平台</t>
  </si>
  <si>
    <t>三维设计及机电一体化虚拟调试平台</t>
  </si>
  <si>
    <t>模拟电子技术实训虚拟仿真资源</t>
  </si>
  <si>
    <t>江波云桌面管理系统（41个点）</t>
  </si>
  <si>
    <t>20221372</t>
  </si>
  <si>
    <t>比例阀效能实验装置</t>
  </si>
  <si>
    <t>20230930</t>
  </si>
  <si>
    <t>20230931</t>
  </si>
  <si>
    <t>20230932</t>
  </si>
  <si>
    <t>20230933</t>
  </si>
  <si>
    <t>20230934</t>
  </si>
  <si>
    <t>20230935</t>
  </si>
  <si>
    <t>20230936</t>
  </si>
  <si>
    <t>20230937</t>
  </si>
  <si>
    <t>20230938</t>
  </si>
  <si>
    <t>20230939</t>
  </si>
  <si>
    <t>20230940</t>
  </si>
  <si>
    <t>智慧一体机</t>
  </si>
  <si>
    <t>20230948</t>
  </si>
  <si>
    <t>20230949</t>
  </si>
  <si>
    <t>20230950</t>
  </si>
  <si>
    <t>20230951</t>
  </si>
  <si>
    <t>20230952</t>
  </si>
  <si>
    <t>20230953</t>
  </si>
  <si>
    <t>20230954</t>
  </si>
  <si>
    <t>20230955</t>
  </si>
  <si>
    <t>20230956</t>
  </si>
  <si>
    <t>20230957</t>
  </si>
  <si>
    <t>20230958</t>
  </si>
  <si>
    <t>20230468</t>
  </si>
  <si>
    <t>20230469</t>
  </si>
  <si>
    <t>20231024</t>
  </si>
  <si>
    <t>机电一体化智能实训平台</t>
  </si>
  <si>
    <t>20231025</t>
  </si>
  <si>
    <t>数字孪生系统软件</t>
  </si>
  <si>
    <t>20231026</t>
  </si>
  <si>
    <t>机器人升级套件</t>
  </si>
  <si>
    <t>机器人套件包</t>
  </si>
  <si>
    <t>气泵</t>
  </si>
  <si>
    <t>借给刘国文</t>
  </si>
  <si>
    <t>音响设备</t>
  </si>
  <si>
    <t>摄像机控制器</t>
  </si>
  <si>
    <t>工业机器人操作与运维实训设备</t>
  </si>
  <si>
    <t>智能制造单元系统集成应用平台及配套</t>
  </si>
  <si>
    <t>工业机器人基础教学工作站</t>
  </si>
  <si>
    <t>电子黑板</t>
  </si>
  <si>
    <t>课桌</t>
  </si>
  <si>
    <t>方凳</t>
  </si>
  <si>
    <t>数字化集成应用系统（含软件）</t>
  </si>
  <si>
    <t>工业机器人虚实融合实验箱</t>
  </si>
  <si>
    <t>超声波探伤探头</t>
  </si>
  <si>
    <t>超声波探伤试块</t>
  </si>
  <si>
    <t>涡流探伤仪</t>
  </si>
  <si>
    <t>PLC模块</t>
  </si>
  <si>
    <t>可编程控制器</t>
  </si>
  <si>
    <t>触摸屏</t>
  </si>
  <si>
    <t>交互式智能平板</t>
  </si>
  <si>
    <t>加工中心</t>
  </si>
  <si>
    <t>数控铣钻床</t>
  </si>
  <si>
    <t>数控机床</t>
  </si>
  <si>
    <t>无芯磨床</t>
  </si>
  <si>
    <t>工具磨床</t>
  </si>
  <si>
    <t>车床</t>
  </si>
  <si>
    <t>万能铣头</t>
  </si>
  <si>
    <t>深度学习工作站</t>
  </si>
  <si>
    <t>数字孪生基础教学实训台（PLC）</t>
  </si>
  <si>
    <t>管控一体化MES系统</t>
  </si>
  <si>
    <t>实验室无线全录播系统</t>
  </si>
  <si>
    <t>视频矩阵</t>
  </si>
  <si>
    <t>展示互动宝</t>
  </si>
  <si>
    <t>教师数据终端</t>
  </si>
  <si>
    <t>电气控制安装调试装置</t>
  </si>
  <si>
    <t>机械装调技术综合装置</t>
  </si>
  <si>
    <t>没找到？</t>
  </si>
  <si>
    <t>电工考核实训装置</t>
  </si>
  <si>
    <t>17#闲置</t>
  </si>
  <si>
    <t>仪表安装实训装置</t>
  </si>
  <si>
    <t>新能源工程与汽车学院</t>
  </si>
  <si>
    <t>汽车电工电子基础智能教学平台</t>
  </si>
  <si>
    <t>汽车电磁学原理智能教学平台</t>
  </si>
  <si>
    <t>汽车电池学原理智能教学平台</t>
  </si>
  <si>
    <t>汽修套装</t>
  </si>
  <si>
    <t>扭力板手</t>
  </si>
  <si>
    <t>故障诊断仪器</t>
  </si>
  <si>
    <t>万用接线盒</t>
  </si>
  <si>
    <t>发动机拆装附翻转架</t>
  </si>
  <si>
    <t>发动机管理模块实训平台</t>
  </si>
  <si>
    <t>发动机系统诊断与维修实训平台</t>
  </si>
  <si>
    <t>发动机诊断与维修工量具耗材套装</t>
  </si>
  <si>
    <t>发动机诊断与维修智能教学终端</t>
  </si>
  <si>
    <t>收纳柜</t>
  </si>
  <si>
    <t>发动机机械拆装教具</t>
  </si>
  <si>
    <t>工具车</t>
  </si>
  <si>
    <t>前桥底盘系统运行实训平台</t>
  </si>
  <si>
    <t>底盘系统诊断与维修智能教学终端</t>
  </si>
  <si>
    <t>新能源高压分线盒</t>
  </si>
  <si>
    <t>灯光系统实训平台</t>
  </si>
  <si>
    <t>电气系统诊断与维修智能教学终端</t>
  </si>
  <si>
    <t>虚拟仿真实训系统软件</t>
  </si>
  <si>
    <t>抽湿器</t>
  </si>
  <si>
    <t>冰箱</t>
  </si>
  <si>
    <t>网椅</t>
  </si>
  <si>
    <t>电气控制实验设备</t>
  </si>
  <si>
    <t>20240642</t>
  </si>
  <si>
    <t>20240643</t>
  </si>
  <si>
    <t>20240644</t>
  </si>
  <si>
    <t>20240645</t>
  </si>
  <si>
    <t>20240646</t>
  </si>
  <si>
    <t>20240647</t>
  </si>
  <si>
    <t>20240648</t>
  </si>
  <si>
    <t>20240649</t>
  </si>
  <si>
    <t>20240650</t>
  </si>
  <si>
    <t>20240651</t>
  </si>
  <si>
    <t>20240652</t>
  </si>
  <si>
    <t>20240653</t>
  </si>
  <si>
    <t>20240654</t>
  </si>
  <si>
    <t>20240655</t>
  </si>
  <si>
    <t>20240656</t>
  </si>
  <si>
    <t>20240657</t>
  </si>
  <si>
    <t>20240658</t>
  </si>
  <si>
    <t>20240659</t>
  </si>
  <si>
    <t>20240660</t>
  </si>
  <si>
    <t>20240661</t>
  </si>
  <si>
    <t>20240909</t>
  </si>
  <si>
    <t>新型电力系统技术与应用平台</t>
  </si>
  <si>
    <t>20240913</t>
  </si>
  <si>
    <t>电气控制与电机驱动综合实训装置</t>
  </si>
  <si>
    <t>20240914</t>
  </si>
  <si>
    <t>20240915</t>
  </si>
  <si>
    <t>20240916</t>
  </si>
  <si>
    <t>20240917</t>
  </si>
  <si>
    <t>20240918</t>
  </si>
  <si>
    <t>20240919</t>
  </si>
  <si>
    <t>20240920</t>
  </si>
  <si>
    <t>20240921</t>
  </si>
  <si>
    <t>20240922</t>
  </si>
  <si>
    <t>20240923</t>
  </si>
  <si>
    <t>20240924</t>
  </si>
  <si>
    <t>20240925</t>
  </si>
  <si>
    <t>20240926</t>
  </si>
  <si>
    <t>20240927</t>
  </si>
  <si>
    <t>20240928</t>
  </si>
  <si>
    <t>20240929</t>
  </si>
  <si>
    <t>20240930</t>
  </si>
  <si>
    <t>20240931</t>
  </si>
  <si>
    <t>20240932</t>
  </si>
  <si>
    <t>动力电池装配平台</t>
  </si>
  <si>
    <t>动力电池操作平台</t>
  </si>
  <si>
    <t>动力电池测控平台</t>
  </si>
  <si>
    <t>装调平台</t>
  </si>
  <si>
    <t>交直流充电测控平台</t>
  </si>
  <si>
    <t>新能源汽车认知使用与维护实训平台</t>
  </si>
  <si>
    <t>新能源汽车认知使用与维护工量具耗材套装</t>
  </si>
  <si>
    <t>驱动电源</t>
  </si>
  <si>
    <t>动力电池管理系统实训平台</t>
  </si>
  <si>
    <t>动力电池管理系统工量具耗材套装</t>
  </si>
  <si>
    <t>动力电池管理系统智能教学终端</t>
  </si>
  <si>
    <t>高压电池交互软件</t>
  </si>
  <si>
    <t>交直流电操作平台</t>
  </si>
  <si>
    <t>新能源汽车认知使用与维护智能教学终端</t>
  </si>
  <si>
    <t>高压控制与安全防护实训平台</t>
  </si>
  <si>
    <t>高压控制与安全防护工量具耗材套装</t>
  </si>
  <si>
    <t>高压控制与安全防护智能教学终端</t>
  </si>
  <si>
    <t>电动汽车电机控制系统</t>
  </si>
  <si>
    <t>电池管理实训台</t>
  </si>
  <si>
    <t>交流充电智能实训台</t>
  </si>
  <si>
    <t>绝缘工具套装</t>
  </si>
  <si>
    <t>工位套装</t>
  </si>
  <si>
    <t>吉利实训车</t>
  </si>
  <si>
    <t>教学实训解剖整车</t>
  </si>
  <si>
    <t>龙门举升机</t>
  </si>
  <si>
    <t>纯电动故障诊断教学实训平台</t>
  </si>
  <si>
    <t>充电桩</t>
  </si>
  <si>
    <t>气电组合鼓</t>
  </si>
  <si>
    <t>隔离防护架</t>
  </si>
  <si>
    <t>精密过滤器</t>
  </si>
  <si>
    <t>绝缘工具组套含工具车</t>
  </si>
  <si>
    <t>活塞式空压机</t>
  </si>
  <si>
    <t>新能源解剖认知一体化教学车</t>
  </si>
  <si>
    <t>高压控制与安全防护救援设备</t>
  </si>
  <si>
    <t>底盘系统综合故障诊断实训平台</t>
  </si>
  <si>
    <t>底盘系统诊断与维修工量具耗材套餐</t>
  </si>
  <si>
    <t>舒适系统实训平台</t>
  </si>
  <si>
    <t>灯光舒适系统工量具耗材套装</t>
  </si>
  <si>
    <t>混合动力汽车（教学版）</t>
  </si>
  <si>
    <t>混合动力整车控制系统诊断与维修实训平台</t>
  </si>
  <si>
    <t>混合动力整车控制系统诊断与维修工量具耗材</t>
  </si>
  <si>
    <t>混合动力整车控制系统诊断与维修教学终端</t>
  </si>
  <si>
    <t>新能源汽车（教学版）</t>
  </si>
  <si>
    <t>新能源汽车整车控制系统诊断与维修实训平台</t>
  </si>
  <si>
    <t>新能源整车控制系统诊断与维修工量具套装</t>
  </si>
  <si>
    <t>新能源控制系统诊断与维修智能教学终端</t>
  </si>
  <si>
    <t>高压电池VR虚拟拆装教学软件</t>
  </si>
  <si>
    <t>VR电池拆装教学一体机</t>
  </si>
  <si>
    <t>汽车驾驶辅助教学实训平台</t>
  </si>
  <si>
    <t>汽车驾驶辅助工量具耗材套装</t>
  </si>
  <si>
    <t>汽车驾驶辅助智能教学终端</t>
  </si>
  <si>
    <t>电磁四轮组智能车</t>
  </si>
  <si>
    <t>纯电动整车（教学版）</t>
  </si>
  <si>
    <t>纯电动整车故障诊断平台</t>
  </si>
  <si>
    <t>发动机拆装测量交互式软件</t>
  </si>
  <si>
    <t>整车故障设置检测平台</t>
  </si>
  <si>
    <t>轿车</t>
  </si>
  <si>
    <t>纯电动轿车</t>
  </si>
  <si>
    <t>电动汽车</t>
  </si>
  <si>
    <t>动力电池升降平台</t>
  </si>
  <si>
    <t>新能源电机控制器</t>
  </si>
  <si>
    <t>电机拆装专用工作台</t>
  </si>
  <si>
    <t>纯电动电机拆装实训台</t>
  </si>
  <si>
    <t>永磁同步电机</t>
  </si>
  <si>
    <t>驱动电机控制系统检测与维修实训平台</t>
  </si>
  <si>
    <t>收纳架</t>
  </si>
  <si>
    <t>驱动电机控制系统检测与维修工量具耗材套装</t>
  </si>
  <si>
    <t>新能源汽车驱动电机系统</t>
  </si>
  <si>
    <t>驱动电机控制系统教学终端</t>
  </si>
  <si>
    <t>混动驱动总成拆装教学实训平台</t>
  </si>
  <si>
    <t>吉利混动驱动总成拆装教学平台</t>
  </si>
  <si>
    <t>纯电动电控助力转向系统训练台</t>
  </si>
  <si>
    <t>比亚迪混动驱动总成拆装教学实训平台</t>
  </si>
  <si>
    <t>高压配电箱总成</t>
  </si>
  <si>
    <t>纯电动空调系统训练台</t>
  </si>
  <si>
    <t>一体式VR眼镜</t>
  </si>
  <si>
    <t>电池原理教学实验平台</t>
  </si>
  <si>
    <t>汽车电工电子基础实验平台</t>
  </si>
  <si>
    <t>发动机拆装检测装置</t>
  </si>
  <si>
    <t>发动机实训台</t>
  </si>
  <si>
    <t>变速器实训台</t>
  </si>
  <si>
    <t>双柱龙门举升机</t>
  </si>
  <si>
    <t>20240662</t>
  </si>
  <si>
    <t>20240663</t>
  </si>
  <si>
    <t>20240664</t>
  </si>
  <si>
    <t>20240665</t>
  </si>
  <si>
    <t>20240666</t>
  </si>
  <si>
    <t>20240667</t>
  </si>
  <si>
    <t>20240668</t>
  </si>
  <si>
    <t>20240669</t>
  </si>
  <si>
    <t>20240670</t>
  </si>
  <si>
    <t>20240671</t>
  </si>
  <si>
    <t>20240672</t>
  </si>
  <si>
    <t>20240673</t>
  </si>
  <si>
    <t>20240674</t>
  </si>
  <si>
    <t>20240675</t>
  </si>
  <si>
    <t>20240676</t>
  </si>
  <si>
    <t>20240691</t>
  </si>
  <si>
    <t>可编程控制器实验实训考核装置</t>
  </si>
  <si>
    <t>20240692</t>
  </si>
  <si>
    <t>20240693</t>
  </si>
  <si>
    <t>20240694</t>
  </si>
  <si>
    <t>20240695</t>
  </si>
  <si>
    <t>20240696</t>
  </si>
  <si>
    <t>20240697</t>
  </si>
  <si>
    <t>20240698</t>
  </si>
  <si>
    <t>20240764</t>
  </si>
  <si>
    <t>电力电子技术及电机控制实验装置</t>
  </si>
  <si>
    <t>20240765</t>
  </si>
  <si>
    <t>20240766</t>
  </si>
  <si>
    <t>20240767</t>
  </si>
  <si>
    <t>20240768</t>
  </si>
  <si>
    <t>20240769</t>
  </si>
  <si>
    <t>20240770</t>
  </si>
  <si>
    <t>台虎钳</t>
  </si>
  <si>
    <t>台钻</t>
  </si>
  <si>
    <t>手持示波器</t>
  </si>
  <si>
    <t>诊断仪</t>
  </si>
  <si>
    <t>专业汽车诊断仪</t>
  </si>
  <si>
    <t>直流电源</t>
  </si>
  <si>
    <t>尾气分析仪</t>
  </si>
  <si>
    <t>发动机总成及拆装台架</t>
  </si>
  <si>
    <t>底盘实训台</t>
  </si>
  <si>
    <t>离合器教学系统</t>
  </si>
  <si>
    <t>传动轴及中间支撑</t>
  </si>
  <si>
    <t>发动机翻转架</t>
  </si>
  <si>
    <t>汽车快速保养工具车</t>
  </si>
  <si>
    <t>电器实训台</t>
  </si>
  <si>
    <t>发动机实训室工作台</t>
  </si>
  <si>
    <t>电瓶充电机</t>
  </si>
  <si>
    <t>通用拆装工具</t>
  </si>
  <si>
    <t>帕萨特发动机拆装工具</t>
  </si>
  <si>
    <t>自动变速器拆装工具</t>
  </si>
  <si>
    <t>空调系统维修工具组</t>
  </si>
  <si>
    <t>循环球式转向器总成</t>
  </si>
  <si>
    <t>自动变速器拆装台架</t>
  </si>
  <si>
    <t>变速器总成</t>
  </si>
  <si>
    <t>ABS实验台</t>
  </si>
  <si>
    <t>实验台</t>
  </si>
  <si>
    <t>CAN-BUS实训台</t>
  </si>
  <si>
    <t>自动空调实训台</t>
  </si>
  <si>
    <t>示教板</t>
  </si>
  <si>
    <t>空调压缩机总机</t>
  </si>
  <si>
    <t>智能车室内往复循环赛道</t>
  </si>
  <si>
    <t>电控发动机实验台架</t>
  </si>
  <si>
    <t>汽车废气抽排系统</t>
  </si>
  <si>
    <t>发动机及变速器实验台</t>
  </si>
  <si>
    <t>电控柴油发动机及台架</t>
  </si>
  <si>
    <t>自动变速器实训台</t>
  </si>
  <si>
    <t>电控助力转向实验台</t>
  </si>
  <si>
    <t>前后县架总成</t>
  </si>
  <si>
    <t>电工机电综合实训配置</t>
  </si>
  <si>
    <t>电气装配实训台</t>
  </si>
  <si>
    <t>发动机总成</t>
  </si>
  <si>
    <t>智能小车</t>
  </si>
  <si>
    <t>剪式举升机</t>
  </si>
  <si>
    <t>多功能废油抽油机</t>
  </si>
  <si>
    <t>四轮定位仪</t>
  </si>
  <si>
    <t>轮胎动平衡机</t>
  </si>
  <si>
    <t>轮胎拆装机</t>
  </si>
  <si>
    <t>发动机与变速器拆装托架</t>
  </si>
  <si>
    <t>齿轮齿条式转向器总成</t>
  </si>
  <si>
    <t>发动机故障诊断仪</t>
  </si>
  <si>
    <t>解码器</t>
  </si>
  <si>
    <t>信息工程与物联网学院</t>
  </si>
  <si>
    <t>移动支架</t>
  </si>
  <si>
    <t>推拉绿板</t>
  </si>
  <si>
    <t>2025.3.27信息工程与物联网学院.xls</t>
  </si>
  <si>
    <t>钢制讲台</t>
  </si>
  <si>
    <t>教学开发平台</t>
  </si>
  <si>
    <t>综合实训系统</t>
  </si>
  <si>
    <t>20140795</t>
  </si>
  <si>
    <t>20140796</t>
  </si>
  <si>
    <t>20140797</t>
  </si>
  <si>
    <t>20140798</t>
  </si>
  <si>
    <t>20140799</t>
  </si>
  <si>
    <t>20140800</t>
  </si>
  <si>
    <t>20140801</t>
  </si>
  <si>
    <t>20140802</t>
  </si>
  <si>
    <t>20140803</t>
  </si>
  <si>
    <t>20140804</t>
  </si>
  <si>
    <t>20140805</t>
  </si>
  <si>
    <t>20140807</t>
  </si>
  <si>
    <t>20140808</t>
  </si>
  <si>
    <t>20141023</t>
  </si>
  <si>
    <t>20141024</t>
  </si>
  <si>
    <t>20141200</t>
  </si>
  <si>
    <t>电子沙盘软件</t>
  </si>
  <si>
    <t>20150015</t>
  </si>
  <si>
    <t>服务器</t>
  </si>
  <si>
    <t>20150020</t>
  </si>
  <si>
    <t>20150023</t>
  </si>
  <si>
    <t>20150024</t>
  </si>
  <si>
    <t>20150025</t>
  </si>
  <si>
    <t>20160097</t>
  </si>
  <si>
    <t>20160098</t>
  </si>
  <si>
    <t>20160099</t>
  </si>
  <si>
    <t>20160649</t>
  </si>
  <si>
    <t>连锁经营实训系统软件</t>
  </si>
  <si>
    <t>20160650</t>
  </si>
  <si>
    <t>3D仿真连锁门店系统软件</t>
  </si>
  <si>
    <t>20190755</t>
  </si>
  <si>
    <t>实验室拓扑连接器</t>
  </si>
  <si>
    <t>实验设备串口控制器</t>
  </si>
  <si>
    <t>三层IPV6交换机</t>
  </si>
  <si>
    <t>二层交换机</t>
  </si>
  <si>
    <t>防火墙</t>
  </si>
  <si>
    <t>入侵检测引擎</t>
  </si>
  <si>
    <t>堡垒服务器</t>
  </si>
  <si>
    <t>WEB应用防火墙</t>
  </si>
  <si>
    <t>IP融合通信平台</t>
  </si>
  <si>
    <t>双栈IP电话机</t>
  </si>
  <si>
    <t>无线控制器</t>
  </si>
  <si>
    <t>无线接入点AP</t>
  </si>
  <si>
    <t>实训手册</t>
  </si>
  <si>
    <t>实验室机柜</t>
  </si>
  <si>
    <t>专业实训桌椅</t>
  </si>
  <si>
    <t>讲台</t>
  </si>
  <si>
    <t>实验室配套设施</t>
  </si>
  <si>
    <t>柜式空调机</t>
  </si>
  <si>
    <t>网络日志系统</t>
  </si>
  <si>
    <t>无线交换机</t>
  </si>
  <si>
    <t>智能控制基础训练平台</t>
  </si>
  <si>
    <t>20171415</t>
  </si>
  <si>
    <t>电路板裁板机</t>
  </si>
  <si>
    <t>20171416</t>
  </si>
  <si>
    <t>电烤箱</t>
  </si>
  <si>
    <t>20171417</t>
  </si>
  <si>
    <t>打印机</t>
  </si>
  <si>
    <t>20171418</t>
  </si>
  <si>
    <t>微型台钻</t>
  </si>
  <si>
    <t>20171420</t>
  </si>
  <si>
    <t>平板热转印机</t>
  </si>
  <si>
    <t>20171421</t>
  </si>
  <si>
    <t>20171422</t>
  </si>
  <si>
    <t>20171423</t>
  </si>
  <si>
    <t>20171704</t>
  </si>
  <si>
    <t>20180316</t>
  </si>
  <si>
    <t>音响组合</t>
  </si>
  <si>
    <t>20180321</t>
  </si>
  <si>
    <t>20180914</t>
  </si>
  <si>
    <t>20180955</t>
  </si>
  <si>
    <t>20051964</t>
  </si>
  <si>
    <t>20051965</t>
  </si>
  <si>
    <t>20051966</t>
  </si>
  <si>
    <t>20051970</t>
  </si>
  <si>
    <t>20051971</t>
  </si>
  <si>
    <t>20052504</t>
  </si>
  <si>
    <t>20060452</t>
  </si>
  <si>
    <t>20060463</t>
  </si>
  <si>
    <t>20070904</t>
  </si>
  <si>
    <t>20080247</t>
  </si>
  <si>
    <t>20080248</t>
  </si>
  <si>
    <t>20080253</t>
  </si>
  <si>
    <t>20080667</t>
  </si>
  <si>
    <t>20080670</t>
  </si>
  <si>
    <t>20080671</t>
  </si>
  <si>
    <t>20080673</t>
  </si>
  <si>
    <t>20080674</t>
  </si>
  <si>
    <t>20080676</t>
  </si>
  <si>
    <t>20080678</t>
  </si>
  <si>
    <t>20080679</t>
  </si>
  <si>
    <t>20080680</t>
  </si>
  <si>
    <t>20080681</t>
  </si>
  <si>
    <t>20080684</t>
  </si>
  <si>
    <t>20080685</t>
  </si>
  <si>
    <t>20080686</t>
  </si>
  <si>
    <t>20080687</t>
  </si>
  <si>
    <t>20080688</t>
  </si>
  <si>
    <t>20090128</t>
  </si>
  <si>
    <t>防静电焊台</t>
  </si>
  <si>
    <t>20090129</t>
  </si>
  <si>
    <t>20090130</t>
  </si>
  <si>
    <t>20090131</t>
  </si>
  <si>
    <t>20090132</t>
  </si>
  <si>
    <t>20090329</t>
  </si>
  <si>
    <t>20100078</t>
  </si>
  <si>
    <t>20100197</t>
  </si>
  <si>
    <t>非线性编辑系统</t>
  </si>
  <si>
    <t>20100198</t>
  </si>
  <si>
    <t>20100200</t>
  </si>
  <si>
    <t>20100201</t>
  </si>
  <si>
    <t>20100203</t>
  </si>
  <si>
    <t>20100204</t>
  </si>
  <si>
    <t>20100206</t>
  </si>
  <si>
    <t>20100207</t>
  </si>
  <si>
    <t>20100208</t>
  </si>
  <si>
    <t>20100209</t>
  </si>
  <si>
    <t>20100210</t>
  </si>
  <si>
    <t>20100211</t>
  </si>
  <si>
    <t>20100212</t>
  </si>
  <si>
    <t>20100213</t>
  </si>
  <si>
    <t>20100216</t>
  </si>
  <si>
    <t>20100217</t>
  </si>
  <si>
    <t>20100218</t>
  </si>
  <si>
    <t>20100219</t>
  </si>
  <si>
    <t>20100220</t>
  </si>
  <si>
    <t>20100221</t>
  </si>
  <si>
    <t>20100223</t>
  </si>
  <si>
    <t>数据库服务器</t>
  </si>
  <si>
    <t>20100224</t>
  </si>
  <si>
    <t>20100225</t>
  </si>
  <si>
    <t>多媒体管理软件</t>
  </si>
  <si>
    <t>20100226</t>
  </si>
  <si>
    <t>20100227</t>
  </si>
  <si>
    <t>连接线</t>
  </si>
  <si>
    <t>20100529</t>
  </si>
  <si>
    <t>20100790</t>
  </si>
  <si>
    <t>柔性生产线改造系统</t>
  </si>
  <si>
    <t>20100844</t>
  </si>
  <si>
    <t>反馈抑制器</t>
  </si>
  <si>
    <t>20120304</t>
  </si>
  <si>
    <t>20120316</t>
  </si>
  <si>
    <t>20120377</t>
  </si>
  <si>
    <t>20120574</t>
  </si>
  <si>
    <t>20120973</t>
  </si>
  <si>
    <t>电子产品设计及制作系统</t>
  </si>
  <si>
    <t>20121035</t>
  </si>
  <si>
    <t>20121285</t>
  </si>
  <si>
    <t>20140647</t>
  </si>
  <si>
    <t>电视机</t>
  </si>
  <si>
    <t>20140648</t>
  </si>
  <si>
    <t>20140649</t>
  </si>
  <si>
    <t>20140650</t>
  </si>
  <si>
    <t>20140651</t>
  </si>
  <si>
    <t>20140652</t>
  </si>
  <si>
    <t>20140653</t>
  </si>
  <si>
    <t>20140654</t>
  </si>
  <si>
    <t>20141055</t>
  </si>
  <si>
    <t>20160096</t>
  </si>
  <si>
    <t>20181171</t>
  </si>
  <si>
    <t>多媒体讲台</t>
  </si>
  <si>
    <t>20181172</t>
  </si>
  <si>
    <t>音箱及功放</t>
  </si>
  <si>
    <t>20170090</t>
  </si>
  <si>
    <t>数字示波器</t>
  </si>
  <si>
    <t>20170091</t>
  </si>
  <si>
    <t>20170092</t>
  </si>
  <si>
    <t>20170093</t>
  </si>
  <si>
    <t>20170094</t>
  </si>
  <si>
    <t>20170095</t>
  </si>
  <si>
    <t>20170096</t>
  </si>
  <si>
    <t>20170097</t>
  </si>
  <si>
    <t>20170098</t>
  </si>
  <si>
    <t>20170099</t>
  </si>
  <si>
    <t>20170100</t>
  </si>
  <si>
    <t>20170101</t>
  </si>
  <si>
    <t>20170102</t>
  </si>
  <si>
    <t>20170103</t>
  </si>
  <si>
    <t>20170104</t>
  </si>
  <si>
    <t>20170105</t>
  </si>
  <si>
    <t>20170106</t>
  </si>
  <si>
    <t>20170107</t>
  </si>
  <si>
    <t>20170108</t>
  </si>
  <si>
    <t>20170109</t>
  </si>
  <si>
    <t>20170110</t>
  </si>
  <si>
    <t>20170111</t>
  </si>
  <si>
    <t>20170112</t>
  </si>
  <si>
    <t>20170113</t>
  </si>
  <si>
    <t>20170114</t>
  </si>
  <si>
    <t>20170115</t>
  </si>
  <si>
    <t>20170116</t>
  </si>
  <si>
    <t>20170117</t>
  </si>
  <si>
    <t>20170118</t>
  </si>
  <si>
    <t>DDS函数信号发生器</t>
  </si>
  <si>
    <t>20170119</t>
  </si>
  <si>
    <t>20170120</t>
  </si>
  <si>
    <t>20170121</t>
  </si>
  <si>
    <t>20170122</t>
  </si>
  <si>
    <t>20170123</t>
  </si>
  <si>
    <t>20170124</t>
  </si>
  <si>
    <t>20170125</t>
  </si>
  <si>
    <t>20170126</t>
  </si>
  <si>
    <t>20170127</t>
  </si>
  <si>
    <t>20170128</t>
  </si>
  <si>
    <t>20170129</t>
  </si>
  <si>
    <t>20170130</t>
  </si>
  <si>
    <t>20170131</t>
  </si>
  <si>
    <t>20170132</t>
  </si>
  <si>
    <t>20170133</t>
  </si>
  <si>
    <t>20170134</t>
  </si>
  <si>
    <t>20170135</t>
  </si>
  <si>
    <t>20170136</t>
  </si>
  <si>
    <t>20170137</t>
  </si>
  <si>
    <t>20170138</t>
  </si>
  <si>
    <t>20170139</t>
  </si>
  <si>
    <t>20170140</t>
  </si>
  <si>
    <t>20170141</t>
  </si>
  <si>
    <t>20170142</t>
  </si>
  <si>
    <t>20170143</t>
  </si>
  <si>
    <t>20170144</t>
  </si>
  <si>
    <t>20170145</t>
  </si>
  <si>
    <t>20170146</t>
  </si>
  <si>
    <t>20170147</t>
  </si>
  <si>
    <t>20170148</t>
  </si>
  <si>
    <t>20170149</t>
  </si>
  <si>
    <t>数字频率计</t>
  </si>
  <si>
    <t>20170150</t>
  </si>
  <si>
    <t>20170151</t>
  </si>
  <si>
    <t>20170152</t>
  </si>
  <si>
    <t>20170153</t>
  </si>
  <si>
    <t>20170154</t>
  </si>
  <si>
    <t>20170155</t>
  </si>
  <si>
    <t>20170156</t>
  </si>
  <si>
    <t>20170157</t>
  </si>
  <si>
    <t>20170158</t>
  </si>
  <si>
    <t>20170159</t>
  </si>
  <si>
    <t>20170160</t>
  </si>
  <si>
    <t>20170161</t>
  </si>
  <si>
    <t>20170162</t>
  </si>
  <si>
    <t>20170163</t>
  </si>
  <si>
    <t>20170164</t>
  </si>
  <si>
    <t>20170165</t>
  </si>
  <si>
    <t>20170166</t>
  </si>
  <si>
    <t>20170167</t>
  </si>
  <si>
    <t>20170168</t>
  </si>
  <si>
    <t>20170169</t>
  </si>
  <si>
    <t>20170170</t>
  </si>
  <si>
    <t>20170171</t>
  </si>
  <si>
    <t>20170172</t>
  </si>
  <si>
    <t>20170173</t>
  </si>
  <si>
    <t>20170174</t>
  </si>
  <si>
    <t>20170175</t>
  </si>
  <si>
    <t>20170176</t>
  </si>
  <si>
    <t>20170177</t>
  </si>
  <si>
    <t>20170178</t>
  </si>
  <si>
    <t>20170179</t>
  </si>
  <si>
    <t>20170180</t>
  </si>
  <si>
    <t>20170181</t>
  </si>
  <si>
    <t>20170182</t>
  </si>
  <si>
    <t>20170183</t>
  </si>
  <si>
    <t>20170184</t>
  </si>
  <si>
    <t>20170185</t>
  </si>
  <si>
    <t>20170186</t>
  </si>
  <si>
    <t>20170187</t>
  </si>
  <si>
    <t>20170188</t>
  </si>
  <si>
    <t>20170189</t>
  </si>
  <si>
    <t>LCR电桥</t>
  </si>
  <si>
    <t>20170190</t>
  </si>
  <si>
    <t>20170191</t>
  </si>
  <si>
    <t>20170192</t>
  </si>
  <si>
    <t>20170193</t>
  </si>
  <si>
    <t>交流电源</t>
  </si>
  <si>
    <t>20170194</t>
  </si>
  <si>
    <t>20170195</t>
  </si>
  <si>
    <t>20170196</t>
  </si>
  <si>
    <t>20170197</t>
  </si>
  <si>
    <t>20170198</t>
  </si>
  <si>
    <t>20170199</t>
  </si>
  <si>
    <t>20170200</t>
  </si>
  <si>
    <t>20170201</t>
  </si>
  <si>
    <t>20170202</t>
  </si>
  <si>
    <t>20170203</t>
  </si>
  <si>
    <t>20170204</t>
  </si>
  <si>
    <t>20170205</t>
  </si>
  <si>
    <t>20170206</t>
  </si>
  <si>
    <t>20170207</t>
  </si>
  <si>
    <t>20170208</t>
  </si>
  <si>
    <t>20170209</t>
  </si>
  <si>
    <t>20170210</t>
  </si>
  <si>
    <t>20170211</t>
  </si>
  <si>
    <t>20170212</t>
  </si>
  <si>
    <t>20170213</t>
  </si>
  <si>
    <t>20170214</t>
  </si>
  <si>
    <t>20170215</t>
  </si>
  <si>
    <t>20170216</t>
  </si>
  <si>
    <t>20170217</t>
  </si>
  <si>
    <t>20170218</t>
  </si>
  <si>
    <t>20170219</t>
  </si>
  <si>
    <t>20170220</t>
  </si>
  <si>
    <t>20170221</t>
  </si>
  <si>
    <t>20170222</t>
  </si>
  <si>
    <t>20170223</t>
  </si>
  <si>
    <t>20170224</t>
  </si>
  <si>
    <t>20170225</t>
  </si>
  <si>
    <t>20170226</t>
  </si>
  <si>
    <t>20170227</t>
  </si>
  <si>
    <t>20170228</t>
  </si>
  <si>
    <t>20170229</t>
  </si>
  <si>
    <t>20170230</t>
  </si>
  <si>
    <t>20170231</t>
  </si>
  <si>
    <t>20170232</t>
  </si>
  <si>
    <t>20170233</t>
  </si>
  <si>
    <t>20170234</t>
  </si>
  <si>
    <t>20170235</t>
  </si>
  <si>
    <t>20170236</t>
  </si>
  <si>
    <t>20170237</t>
  </si>
  <si>
    <t>20170238</t>
  </si>
  <si>
    <t>20170239</t>
  </si>
  <si>
    <t>20170240</t>
  </si>
  <si>
    <t>20170241</t>
  </si>
  <si>
    <t>20170242</t>
  </si>
  <si>
    <t>20170243</t>
  </si>
  <si>
    <t>20170244</t>
  </si>
  <si>
    <t>20170245</t>
  </si>
  <si>
    <t>20170246</t>
  </si>
  <si>
    <t>20170247</t>
  </si>
  <si>
    <t>20170248</t>
  </si>
  <si>
    <t>20170249</t>
  </si>
  <si>
    <t>20170250</t>
  </si>
  <si>
    <t>20170251</t>
  </si>
  <si>
    <t>20170252</t>
  </si>
  <si>
    <t>20170253</t>
  </si>
  <si>
    <t>20170254</t>
  </si>
  <si>
    <t>20170255</t>
  </si>
  <si>
    <t>20170256</t>
  </si>
  <si>
    <t>台式万用表</t>
  </si>
  <si>
    <t>20170257</t>
  </si>
  <si>
    <t>20170258</t>
  </si>
  <si>
    <t>20170259</t>
  </si>
  <si>
    <t>20170260</t>
  </si>
  <si>
    <t>20170261</t>
  </si>
  <si>
    <t>20170262</t>
  </si>
  <si>
    <t>20170263</t>
  </si>
  <si>
    <t>20170264</t>
  </si>
  <si>
    <t>20170265</t>
  </si>
  <si>
    <t>20170266</t>
  </si>
  <si>
    <t>数据采集开关系统</t>
  </si>
  <si>
    <t>20170267</t>
  </si>
  <si>
    <t>20170268</t>
  </si>
  <si>
    <t>安规测试仪</t>
  </si>
  <si>
    <t>20170270</t>
  </si>
  <si>
    <t>单筒显微镜</t>
  </si>
  <si>
    <t>20170271</t>
  </si>
  <si>
    <t>高频电磁波测试计</t>
  </si>
  <si>
    <t>20170272</t>
  </si>
  <si>
    <t>电磁场强度测试器</t>
  </si>
  <si>
    <t>20170273</t>
  </si>
  <si>
    <t>电子负载</t>
  </si>
  <si>
    <t>20170274</t>
  </si>
  <si>
    <t>20170275</t>
  </si>
  <si>
    <t>20170276</t>
  </si>
  <si>
    <t>20170277</t>
  </si>
  <si>
    <t>20170278</t>
  </si>
  <si>
    <t>20180915</t>
  </si>
  <si>
    <t>20180956</t>
  </si>
  <si>
    <t>20230233</t>
  </si>
  <si>
    <t>光伏电子实训工作站</t>
  </si>
  <si>
    <t>20230234</t>
  </si>
  <si>
    <t>电子产品设计与制作实训平台</t>
  </si>
  <si>
    <t>20020705</t>
  </si>
  <si>
    <t>20020708</t>
  </si>
  <si>
    <t>20020828</t>
  </si>
  <si>
    <t>真空泵</t>
  </si>
  <si>
    <t>20030348</t>
  </si>
  <si>
    <t>20030756</t>
  </si>
  <si>
    <t>20031063</t>
  </si>
  <si>
    <t>钻机</t>
  </si>
  <si>
    <t>20040725</t>
  </si>
  <si>
    <t>20051261</t>
  </si>
  <si>
    <t>20051264</t>
  </si>
  <si>
    <t>双踪示波器</t>
  </si>
  <si>
    <t>20051333</t>
  </si>
  <si>
    <t>直流稳压电源</t>
  </si>
  <si>
    <t>20051335</t>
  </si>
  <si>
    <t>20051336</t>
  </si>
  <si>
    <t>20052015</t>
  </si>
  <si>
    <t>幕布</t>
  </si>
  <si>
    <t>20052064</t>
  </si>
  <si>
    <t>20052101</t>
  </si>
  <si>
    <t>控制器</t>
  </si>
  <si>
    <t>20052139</t>
  </si>
  <si>
    <t>视听设备</t>
  </si>
  <si>
    <t>20052177</t>
  </si>
  <si>
    <t>20052220</t>
  </si>
  <si>
    <t>有线话筒</t>
  </si>
  <si>
    <t>20060060</t>
  </si>
  <si>
    <t>电位差计</t>
  </si>
  <si>
    <t>20060061</t>
  </si>
  <si>
    <t>20060063</t>
  </si>
  <si>
    <t>20060176</t>
  </si>
  <si>
    <t>20060177</t>
  </si>
  <si>
    <t>20060183</t>
  </si>
  <si>
    <t>20060184</t>
  </si>
  <si>
    <t>20060461</t>
  </si>
  <si>
    <t>20070502</t>
  </si>
  <si>
    <t>20070503</t>
  </si>
  <si>
    <t>20070505</t>
  </si>
  <si>
    <t>20070506</t>
  </si>
  <si>
    <t>20070507</t>
  </si>
  <si>
    <t>20070508</t>
  </si>
  <si>
    <t>20070509</t>
  </si>
  <si>
    <t>20070510</t>
  </si>
  <si>
    <t>20070511</t>
  </si>
  <si>
    <t>20070512</t>
  </si>
  <si>
    <t>20070513</t>
  </si>
  <si>
    <t>20070515</t>
  </si>
  <si>
    <t>20070516</t>
  </si>
  <si>
    <t>20070517</t>
  </si>
  <si>
    <t>20070519</t>
  </si>
  <si>
    <t>20070520</t>
  </si>
  <si>
    <t>20070521</t>
  </si>
  <si>
    <t>20070524</t>
  </si>
  <si>
    <t>20070525</t>
  </si>
  <si>
    <t>20070824</t>
  </si>
  <si>
    <t>20070825</t>
  </si>
  <si>
    <t>20070826</t>
  </si>
  <si>
    <t>20070828</t>
  </si>
  <si>
    <t>20070829</t>
  </si>
  <si>
    <t>20070830</t>
  </si>
  <si>
    <t>20070832</t>
  </si>
  <si>
    <t>20070833</t>
  </si>
  <si>
    <t>20070834</t>
  </si>
  <si>
    <t>20070835</t>
  </si>
  <si>
    <t>20070839</t>
  </si>
  <si>
    <t>20070841</t>
  </si>
  <si>
    <t>20070842</t>
  </si>
  <si>
    <t>20070846</t>
  </si>
  <si>
    <t>20070847</t>
  </si>
  <si>
    <t>20120384</t>
  </si>
  <si>
    <t>开发板</t>
  </si>
  <si>
    <t>20120385</t>
  </si>
  <si>
    <t>20120386</t>
  </si>
  <si>
    <t>20190756</t>
  </si>
  <si>
    <t>20181175</t>
  </si>
  <si>
    <t>20181176</t>
  </si>
  <si>
    <t>20181177</t>
  </si>
  <si>
    <t>20181178</t>
  </si>
  <si>
    <t>20181179</t>
  </si>
  <si>
    <t>20181180</t>
  </si>
  <si>
    <t>20181181</t>
  </si>
  <si>
    <t>20181182</t>
  </si>
  <si>
    <t>20181183</t>
  </si>
  <si>
    <t>20181184</t>
  </si>
  <si>
    <t>20181185</t>
  </si>
  <si>
    <t>20181186</t>
  </si>
  <si>
    <t>辅件</t>
  </si>
  <si>
    <t>20190757</t>
  </si>
  <si>
    <t>20220399</t>
  </si>
  <si>
    <t>物联网工程应用实训系统</t>
  </si>
  <si>
    <t>20220400</t>
  </si>
  <si>
    <t>物联网行业应用集成平台</t>
  </si>
  <si>
    <t>20220401</t>
  </si>
  <si>
    <t>20220402</t>
  </si>
  <si>
    <t>20220403</t>
  </si>
  <si>
    <t>20220404</t>
  </si>
  <si>
    <t>20220405</t>
  </si>
  <si>
    <t>20220406</t>
  </si>
  <si>
    <t>20220407</t>
  </si>
  <si>
    <t>20220408</t>
  </si>
  <si>
    <t>20220409</t>
  </si>
  <si>
    <t>20220410</t>
  </si>
  <si>
    <t>20220411</t>
  </si>
  <si>
    <t>20220412</t>
  </si>
  <si>
    <t>20220413</t>
  </si>
  <si>
    <t>20220414</t>
  </si>
  <si>
    <t>20220415</t>
  </si>
  <si>
    <t>20220416</t>
  </si>
  <si>
    <t>20220417</t>
  </si>
  <si>
    <t>20220418</t>
  </si>
  <si>
    <t>教学监控套装</t>
  </si>
  <si>
    <t>20220419</t>
  </si>
  <si>
    <t>可编程机器人</t>
  </si>
  <si>
    <t>20221377</t>
  </si>
  <si>
    <t>20221378</t>
  </si>
  <si>
    <t>20221379</t>
  </si>
  <si>
    <t>20221380</t>
  </si>
  <si>
    <t>20221381</t>
  </si>
  <si>
    <t>20221382</t>
  </si>
  <si>
    <t>20221383</t>
  </si>
  <si>
    <t>20221384</t>
  </si>
  <si>
    <t>20221385</t>
  </si>
  <si>
    <t>20221386</t>
  </si>
  <si>
    <t>20221387</t>
  </si>
  <si>
    <t>20221388</t>
  </si>
  <si>
    <t>20221389</t>
  </si>
  <si>
    <t>20221390</t>
  </si>
  <si>
    <t>20221391</t>
  </si>
  <si>
    <t>20221392</t>
  </si>
  <si>
    <t>20221393</t>
  </si>
  <si>
    <t>20221394</t>
  </si>
  <si>
    <t>20221395</t>
  </si>
  <si>
    <t>20221396</t>
  </si>
  <si>
    <t>江波桌面软件*20</t>
  </si>
  <si>
    <t>20221397</t>
  </si>
  <si>
    <t>20221398</t>
  </si>
  <si>
    <t>20221399</t>
  </si>
  <si>
    <t>20240480</t>
  </si>
  <si>
    <t>物联网安装调试员实训平台</t>
  </si>
  <si>
    <t>20240481</t>
  </si>
  <si>
    <t>20240482</t>
  </si>
  <si>
    <t>20240483</t>
  </si>
  <si>
    <t>20240484</t>
  </si>
  <si>
    <t>20240485</t>
  </si>
  <si>
    <t>20240486</t>
  </si>
  <si>
    <t>物联网网络组建与运维实训平台（软件）</t>
  </si>
  <si>
    <t>20240487</t>
  </si>
  <si>
    <t>工业互联网工程应用终端</t>
  </si>
  <si>
    <t>20240488</t>
  </si>
  <si>
    <t>工业互联网安装调试模拟平台</t>
  </si>
  <si>
    <t>20240489</t>
  </si>
  <si>
    <t>物联网安装调试专网虚拟仿真实训平台</t>
  </si>
  <si>
    <t>20231044</t>
  </si>
  <si>
    <t>20231045</t>
  </si>
  <si>
    <t>20231046</t>
  </si>
  <si>
    <t>20231047</t>
  </si>
  <si>
    <t>20231062</t>
  </si>
  <si>
    <t>物联网智能系统集成技术软件</t>
  </si>
  <si>
    <t>20231071</t>
  </si>
  <si>
    <t>自动驾驶线控底盘设备</t>
  </si>
  <si>
    <t>20231072</t>
  </si>
  <si>
    <t>物联网智能系统集成平台</t>
  </si>
  <si>
    <t>20220130</t>
  </si>
  <si>
    <t>20220145</t>
  </si>
  <si>
    <t>20220146</t>
  </si>
  <si>
    <t>20220208</t>
  </si>
  <si>
    <t>物联网数据平台</t>
  </si>
  <si>
    <t>20220291</t>
  </si>
  <si>
    <t>UG心理陪护机器人</t>
  </si>
  <si>
    <t>20220292</t>
  </si>
  <si>
    <t>健康监测腕带*30</t>
  </si>
  <si>
    <t>20220293</t>
  </si>
  <si>
    <t>智能人脸识别测温仪</t>
  </si>
  <si>
    <t>20220294</t>
  </si>
  <si>
    <t>智能睡眠感应器*30</t>
  </si>
  <si>
    <t>20220295</t>
  </si>
  <si>
    <t>一键帮助感应器*10</t>
  </si>
  <si>
    <t>20220296</t>
  </si>
  <si>
    <t>小型Lora网关*6</t>
  </si>
  <si>
    <t>20220297</t>
  </si>
  <si>
    <t>UG网关</t>
  </si>
  <si>
    <t>20220298</t>
  </si>
  <si>
    <t>20220366</t>
  </si>
  <si>
    <t>20240156</t>
  </si>
  <si>
    <t>停车场沙盘模型</t>
  </si>
  <si>
    <t>20220511</t>
  </si>
  <si>
    <t>IC制造虚拟仿真教学平台</t>
  </si>
  <si>
    <t>20220512</t>
  </si>
  <si>
    <t>20220513</t>
  </si>
  <si>
    <t>20220514</t>
  </si>
  <si>
    <t>20220515</t>
  </si>
  <si>
    <t>20220516</t>
  </si>
  <si>
    <t>20220517</t>
  </si>
  <si>
    <t>20220518</t>
  </si>
  <si>
    <t>20220519</t>
  </si>
  <si>
    <t>20220520</t>
  </si>
  <si>
    <t>20220521</t>
  </si>
  <si>
    <t>20220522</t>
  </si>
  <si>
    <t>20220523</t>
  </si>
  <si>
    <t>20220524</t>
  </si>
  <si>
    <t>20220525</t>
  </si>
  <si>
    <t>20220526</t>
  </si>
  <si>
    <t>20220527</t>
  </si>
  <si>
    <t>20220528</t>
  </si>
  <si>
    <t>20220529</t>
  </si>
  <si>
    <t>20220530</t>
  </si>
  <si>
    <t>20220531</t>
  </si>
  <si>
    <t>20220532</t>
  </si>
  <si>
    <t>20220533</t>
  </si>
  <si>
    <t>20220534</t>
  </si>
  <si>
    <t>20220535</t>
  </si>
  <si>
    <t>20220536</t>
  </si>
  <si>
    <t>20220537</t>
  </si>
  <si>
    <t>20220538</t>
  </si>
  <si>
    <t>20220539</t>
  </si>
  <si>
    <t>20220540</t>
  </si>
  <si>
    <t>20220541</t>
  </si>
  <si>
    <t>20220542</t>
  </si>
  <si>
    <t>20220543</t>
  </si>
  <si>
    <t>20220544</t>
  </si>
  <si>
    <t>20220545</t>
  </si>
  <si>
    <t>20220546</t>
  </si>
  <si>
    <t>20220547</t>
  </si>
  <si>
    <t>20220548</t>
  </si>
  <si>
    <t>20220549</t>
  </si>
  <si>
    <t>20220959</t>
  </si>
  <si>
    <t>集成电路开发教学平台</t>
  </si>
  <si>
    <t>20220960</t>
  </si>
  <si>
    <t>20220961</t>
  </si>
  <si>
    <t>20220962</t>
  </si>
  <si>
    <t>20220963</t>
  </si>
  <si>
    <t>20220964</t>
  </si>
  <si>
    <t>20230202</t>
  </si>
  <si>
    <t>电路组合箱</t>
  </si>
  <si>
    <t>20230203</t>
  </si>
  <si>
    <t>20230204</t>
  </si>
  <si>
    <t>FT处理器</t>
  </si>
  <si>
    <t>20230205</t>
  </si>
  <si>
    <t>20230206</t>
  </si>
  <si>
    <t>20230207</t>
  </si>
  <si>
    <t>20240729</t>
  </si>
  <si>
    <t>集成电路基础教师机系统</t>
  </si>
  <si>
    <t>20240730</t>
  </si>
  <si>
    <t>工艺教学模型板卡（产业版）</t>
  </si>
  <si>
    <t>20240731</t>
  </si>
  <si>
    <t>多功能实验基础平台（产业版）</t>
  </si>
  <si>
    <t>20240732</t>
  </si>
  <si>
    <t>20240733</t>
  </si>
  <si>
    <t>20240734</t>
  </si>
  <si>
    <t>20240735</t>
  </si>
  <si>
    <t>20240736</t>
  </si>
  <si>
    <t>20240738</t>
  </si>
  <si>
    <t>实验用半导体参数分析仪（产业版）</t>
  </si>
  <si>
    <t>20240739</t>
  </si>
  <si>
    <t>20240740</t>
  </si>
  <si>
    <t>20240741</t>
  </si>
  <si>
    <t>20240742</t>
  </si>
  <si>
    <t>20240743</t>
  </si>
  <si>
    <t>20120007</t>
  </si>
  <si>
    <t>20120008</t>
  </si>
  <si>
    <t>20120009</t>
  </si>
  <si>
    <t>20120010</t>
  </si>
  <si>
    <t>20121373</t>
  </si>
  <si>
    <t>20121374</t>
  </si>
  <si>
    <t>20180912</t>
  </si>
  <si>
    <t>20180953</t>
  </si>
  <si>
    <t>20190761</t>
  </si>
  <si>
    <t>20201117</t>
  </si>
  <si>
    <t>传感网应用开发实训套件</t>
  </si>
  <si>
    <t>20201118</t>
  </si>
  <si>
    <t>20201119</t>
  </si>
  <si>
    <t>20201120</t>
  </si>
  <si>
    <t>20201121</t>
  </si>
  <si>
    <t>20201122</t>
  </si>
  <si>
    <t>20201123</t>
  </si>
  <si>
    <t>20201124</t>
  </si>
  <si>
    <t>20201125</t>
  </si>
  <si>
    <t>20201126</t>
  </si>
  <si>
    <t>20201127</t>
  </si>
  <si>
    <t>20201128</t>
  </si>
  <si>
    <t>20201129</t>
  </si>
  <si>
    <t>20201130</t>
  </si>
  <si>
    <t>20201156</t>
  </si>
  <si>
    <t>20210254</t>
  </si>
  <si>
    <t>20210255</t>
  </si>
  <si>
    <t>20210256</t>
  </si>
  <si>
    <t>20210257</t>
  </si>
  <si>
    <t>20210258</t>
  </si>
  <si>
    <t>20210259</t>
  </si>
  <si>
    <t>20210260</t>
  </si>
  <si>
    <t>20210261</t>
  </si>
  <si>
    <t>20210262</t>
  </si>
  <si>
    <t>20210263</t>
  </si>
  <si>
    <t>20210264</t>
  </si>
  <si>
    <t>20210265</t>
  </si>
  <si>
    <t>20210266</t>
  </si>
  <si>
    <t>20210267</t>
  </si>
  <si>
    <t>20210268</t>
  </si>
  <si>
    <t>20210269</t>
  </si>
  <si>
    <t>20210270</t>
  </si>
  <si>
    <t>20210271</t>
  </si>
  <si>
    <t>20210272</t>
  </si>
  <si>
    <t>20210273</t>
  </si>
  <si>
    <t>20210274</t>
  </si>
  <si>
    <t>20210275</t>
  </si>
  <si>
    <t>20210276</t>
  </si>
  <si>
    <t>20210277</t>
  </si>
  <si>
    <t>20210278</t>
  </si>
  <si>
    <t>20210279</t>
  </si>
  <si>
    <t>20210280</t>
  </si>
  <si>
    <t>20210281</t>
  </si>
  <si>
    <t>20210282</t>
  </si>
  <si>
    <t>20210292</t>
  </si>
  <si>
    <t>20210293</t>
  </si>
  <si>
    <t>20210294</t>
  </si>
  <si>
    <t>20210295</t>
  </si>
  <si>
    <t>20210296</t>
  </si>
  <si>
    <t>20210297</t>
  </si>
  <si>
    <t>20210298</t>
  </si>
  <si>
    <t>20210299</t>
  </si>
  <si>
    <t>20210300</t>
  </si>
  <si>
    <t>20210301</t>
  </si>
  <si>
    <t>20210302</t>
  </si>
  <si>
    <t>20210303</t>
  </si>
  <si>
    <t>20210712</t>
  </si>
  <si>
    <t>20211584</t>
  </si>
  <si>
    <t>开源硬件实验箱</t>
  </si>
  <si>
    <t>20211585</t>
  </si>
  <si>
    <t>20211586</t>
  </si>
  <si>
    <t>20211587</t>
  </si>
  <si>
    <t>20211588</t>
  </si>
  <si>
    <t>20211589</t>
  </si>
  <si>
    <t>20211590</t>
  </si>
  <si>
    <t>20211591</t>
  </si>
  <si>
    <t>20211592</t>
  </si>
  <si>
    <t>20211593</t>
  </si>
  <si>
    <t>20211594</t>
  </si>
  <si>
    <t>20211595</t>
  </si>
  <si>
    <t>20211596</t>
  </si>
  <si>
    <t>20211597</t>
  </si>
  <si>
    <t>20211598</t>
  </si>
  <si>
    <t>20211599</t>
  </si>
  <si>
    <t>20211600</t>
  </si>
  <si>
    <t>20211601</t>
  </si>
  <si>
    <t>20211602</t>
  </si>
  <si>
    <t>20211603</t>
  </si>
  <si>
    <t>20211604</t>
  </si>
  <si>
    <t>20211605</t>
  </si>
  <si>
    <t>20211606</t>
  </si>
  <si>
    <t>20211607</t>
  </si>
  <si>
    <t>20211608</t>
  </si>
  <si>
    <t>20221242</t>
  </si>
  <si>
    <t>电子焊机综合测试平台</t>
  </si>
  <si>
    <t>20221243</t>
  </si>
  <si>
    <t>20221244</t>
  </si>
  <si>
    <t>20221245</t>
  </si>
  <si>
    <t>20221246</t>
  </si>
  <si>
    <t>20221247</t>
  </si>
  <si>
    <t>20221248</t>
  </si>
  <si>
    <t>20221249</t>
  </si>
  <si>
    <t>20221250</t>
  </si>
  <si>
    <t>20221251</t>
  </si>
  <si>
    <t>20221252</t>
  </si>
  <si>
    <t>20221253</t>
  </si>
  <si>
    <t>20221254</t>
  </si>
  <si>
    <t>20221255</t>
  </si>
  <si>
    <t>20221256</t>
  </si>
  <si>
    <t>20221257</t>
  </si>
  <si>
    <t>20221258</t>
  </si>
  <si>
    <t>20221259</t>
  </si>
  <si>
    <t>20221260</t>
  </si>
  <si>
    <t>20221261</t>
  </si>
  <si>
    <t>20221262</t>
  </si>
  <si>
    <t>20221263</t>
  </si>
  <si>
    <t>20221264</t>
  </si>
  <si>
    <t>20221265</t>
  </si>
  <si>
    <t>20221266</t>
  </si>
  <si>
    <t>20221267</t>
  </si>
  <si>
    <t>20221268</t>
  </si>
  <si>
    <t>20221269</t>
  </si>
  <si>
    <t>20221270</t>
  </si>
  <si>
    <t>20221271</t>
  </si>
  <si>
    <t>20221272</t>
  </si>
  <si>
    <t>20221273</t>
  </si>
  <si>
    <t>20221274</t>
  </si>
  <si>
    <t>20221275</t>
  </si>
  <si>
    <t>20221276</t>
  </si>
  <si>
    <t>20221277</t>
  </si>
  <si>
    <t>20221278</t>
  </si>
  <si>
    <t>20221279</t>
  </si>
  <si>
    <t>20221280</t>
  </si>
  <si>
    <t>20221281</t>
  </si>
  <si>
    <t>20221282</t>
  </si>
  <si>
    <t>20221283</t>
  </si>
  <si>
    <t>20221284</t>
  </si>
  <si>
    <t>20221285</t>
  </si>
  <si>
    <t>20221286</t>
  </si>
  <si>
    <t>20221287</t>
  </si>
  <si>
    <t>20221288</t>
  </si>
  <si>
    <t>20221289</t>
  </si>
  <si>
    <t>20221290</t>
  </si>
  <si>
    <t>20221291</t>
  </si>
  <si>
    <t>数字万用表</t>
  </si>
  <si>
    <t>20221292</t>
  </si>
  <si>
    <t>20221293</t>
  </si>
  <si>
    <t>20221294</t>
  </si>
  <si>
    <t>20221295</t>
  </si>
  <si>
    <t>20221296</t>
  </si>
  <si>
    <t>20221297</t>
  </si>
  <si>
    <t>20221298</t>
  </si>
  <si>
    <t>20221299</t>
  </si>
  <si>
    <t>20221300</t>
  </si>
  <si>
    <t>20221301</t>
  </si>
  <si>
    <t>20221302</t>
  </si>
  <si>
    <t>20221303</t>
  </si>
  <si>
    <t>20221304</t>
  </si>
  <si>
    <t>20221305</t>
  </si>
  <si>
    <t>20221306</t>
  </si>
  <si>
    <t>20221307</t>
  </si>
  <si>
    <t>20221308</t>
  </si>
  <si>
    <t>20221309</t>
  </si>
  <si>
    <t>20221310</t>
  </si>
  <si>
    <t>20221311</t>
  </si>
  <si>
    <t>20221312</t>
  </si>
  <si>
    <t>20221313</t>
  </si>
  <si>
    <t>20221314</t>
  </si>
  <si>
    <t>20221315</t>
  </si>
  <si>
    <t>20221316</t>
  </si>
  <si>
    <t>20221317</t>
  </si>
  <si>
    <t>20221318</t>
  </si>
  <si>
    <t>20221319</t>
  </si>
  <si>
    <t>20221320</t>
  </si>
  <si>
    <t>20221321</t>
  </si>
  <si>
    <t>20221322</t>
  </si>
  <si>
    <t>20221323</t>
  </si>
  <si>
    <t>20221324</t>
  </si>
  <si>
    <t>20221325</t>
  </si>
  <si>
    <t>20221326</t>
  </si>
  <si>
    <t>20221327</t>
  </si>
  <si>
    <t>20221328</t>
  </si>
  <si>
    <t>20221329</t>
  </si>
  <si>
    <t>20221330</t>
  </si>
  <si>
    <t>20221331</t>
  </si>
  <si>
    <t>20221332</t>
  </si>
  <si>
    <t>20221333</t>
  </si>
  <si>
    <t>20221334</t>
  </si>
  <si>
    <t>20221335</t>
  </si>
  <si>
    <t>20221336</t>
  </si>
  <si>
    <t>20221337</t>
  </si>
  <si>
    <t>20221338</t>
  </si>
  <si>
    <t>20221339</t>
  </si>
  <si>
    <t>20221340</t>
  </si>
  <si>
    <t>20221341</t>
  </si>
  <si>
    <t>20221342</t>
  </si>
  <si>
    <t>20221343</t>
  </si>
  <si>
    <t>20221344</t>
  </si>
  <si>
    <t>20221345</t>
  </si>
  <si>
    <t>20221346</t>
  </si>
  <si>
    <t>20221347</t>
  </si>
  <si>
    <t>20221348</t>
  </si>
  <si>
    <t>20221349</t>
  </si>
  <si>
    <t>20221350</t>
  </si>
  <si>
    <t>20221351</t>
  </si>
  <si>
    <t>20221352</t>
  </si>
  <si>
    <t>20221353</t>
  </si>
  <si>
    <t>20221354</t>
  </si>
  <si>
    <t>20221355</t>
  </si>
  <si>
    <t>20221356</t>
  </si>
  <si>
    <t>函数任意波形发生器</t>
  </si>
  <si>
    <t>20221357</t>
  </si>
  <si>
    <t>混合数字示波器</t>
  </si>
  <si>
    <t>20221358</t>
  </si>
  <si>
    <t>20221359</t>
  </si>
  <si>
    <t>5位半万用表</t>
  </si>
  <si>
    <t>20221360</t>
  </si>
  <si>
    <t>20221361</t>
  </si>
  <si>
    <t>20221362</t>
  </si>
  <si>
    <t>20221363</t>
  </si>
  <si>
    <t>可编程直流电子负载</t>
  </si>
  <si>
    <t>20221364</t>
  </si>
  <si>
    <t>20221365</t>
  </si>
  <si>
    <t>电池内阻测试仪</t>
  </si>
  <si>
    <t>20221366</t>
  </si>
  <si>
    <t>网络交换机</t>
  </si>
  <si>
    <t>20221367</t>
  </si>
  <si>
    <t>20221368</t>
  </si>
  <si>
    <t>20221400</t>
  </si>
  <si>
    <t>20230199</t>
  </si>
  <si>
    <t>功放机</t>
  </si>
  <si>
    <t>20181117</t>
  </si>
  <si>
    <t>20181118</t>
  </si>
  <si>
    <t>20181119</t>
  </si>
  <si>
    <t>20181121</t>
  </si>
  <si>
    <t>20181122</t>
  </si>
  <si>
    <t>20181123</t>
  </si>
  <si>
    <t>20181124</t>
  </si>
  <si>
    <t>20181125</t>
  </si>
  <si>
    <t>20181126</t>
  </si>
  <si>
    <t>20181127</t>
  </si>
  <si>
    <t>20181128</t>
  </si>
  <si>
    <t>20181129</t>
  </si>
  <si>
    <t>20181130</t>
  </si>
  <si>
    <t>20181131</t>
  </si>
  <si>
    <t>20181132</t>
  </si>
  <si>
    <t>20181133</t>
  </si>
  <si>
    <t>20181134</t>
  </si>
  <si>
    <t>20181135</t>
  </si>
  <si>
    <t>20181136</t>
  </si>
  <si>
    <t>20181137</t>
  </si>
  <si>
    <t>20181138</t>
  </si>
  <si>
    <t>20181139</t>
  </si>
  <si>
    <t>20181140</t>
  </si>
  <si>
    <t>20181141</t>
  </si>
  <si>
    <t>20181142</t>
  </si>
  <si>
    <t>20181143</t>
  </si>
  <si>
    <t>20181144</t>
  </si>
  <si>
    <t>20181145</t>
  </si>
  <si>
    <t>20181146</t>
  </si>
  <si>
    <t>20181147</t>
  </si>
  <si>
    <t>20181148</t>
  </si>
  <si>
    <t>20181149</t>
  </si>
  <si>
    <t>20181150</t>
  </si>
  <si>
    <t>20181151</t>
  </si>
  <si>
    <t>20181152</t>
  </si>
  <si>
    <t>20181153</t>
  </si>
  <si>
    <t>20181154</t>
  </si>
  <si>
    <t>20181155</t>
  </si>
  <si>
    <t>20181156</t>
  </si>
  <si>
    <t>20181157</t>
  </si>
  <si>
    <t>20181158</t>
  </si>
  <si>
    <t>20181159</t>
  </si>
  <si>
    <t>20181160</t>
  </si>
  <si>
    <t>20181161</t>
  </si>
  <si>
    <t>20181162</t>
  </si>
  <si>
    <t>20181163</t>
  </si>
  <si>
    <t>20181164</t>
  </si>
  <si>
    <t>20181165</t>
  </si>
  <si>
    <t>20181166</t>
  </si>
  <si>
    <t>20181167</t>
  </si>
  <si>
    <t>20181168</t>
  </si>
  <si>
    <t>20181169</t>
  </si>
  <si>
    <t>20181170</t>
  </si>
  <si>
    <t>20190203</t>
  </si>
  <si>
    <t>物流生产制造系统</t>
  </si>
  <si>
    <t>20190759</t>
  </si>
  <si>
    <t>20201293</t>
  </si>
  <si>
    <t>椅凳</t>
  </si>
  <si>
    <t>20230169</t>
  </si>
  <si>
    <t>桥－路由器</t>
  </si>
  <si>
    <t>20180257</t>
  </si>
  <si>
    <t>20180258</t>
  </si>
  <si>
    <t>20180259</t>
  </si>
  <si>
    <t>20180260</t>
  </si>
  <si>
    <t>20180261</t>
  </si>
  <si>
    <t>20180262</t>
  </si>
  <si>
    <t>20180263</t>
  </si>
  <si>
    <t>20180264</t>
  </si>
  <si>
    <t>20180265</t>
  </si>
  <si>
    <t>20180266</t>
  </si>
  <si>
    <t>20180267</t>
  </si>
  <si>
    <t>20180268</t>
  </si>
  <si>
    <t>20180269</t>
  </si>
  <si>
    <t>20180270</t>
  </si>
  <si>
    <t>20180271</t>
  </si>
  <si>
    <t>20180272</t>
  </si>
  <si>
    <t>20180273</t>
  </si>
  <si>
    <t>20180274</t>
  </si>
  <si>
    <t>20180275</t>
  </si>
  <si>
    <t>20180276</t>
  </si>
  <si>
    <t>20180277</t>
  </si>
  <si>
    <t>20180278</t>
  </si>
  <si>
    <t>20180279</t>
  </si>
  <si>
    <t>20180280</t>
  </si>
  <si>
    <t>20180281</t>
  </si>
  <si>
    <t>20180282</t>
  </si>
  <si>
    <t>20180283</t>
  </si>
  <si>
    <t>20180284</t>
  </si>
  <si>
    <t>20180285</t>
  </si>
  <si>
    <t>20180286</t>
  </si>
  <si>
    <t>20180287</t>
  </si>
  <si>
    <t>20180288</t>
  </si>
  <si>
    <t>20180289</t>
  </si>
  <si>
    <t>20180290</t>
  </si>
  <si>
    <t>20180913</t>
  </si>
  <si>
    <t>20190515</t>
  </si>
  <si>
    <t>20190763</t>
  </si>
  <si>
    <t>20220427</t>
  </si>
  <si>
    <t>20220428</t>
  </si>
  <si>
    <t>20220429</t>
  </si>
  <si>
    <t>20220430</t>
  </si>
  <si>
    <t>20220431</t>
  </si>
  <si>
    <t>20220432</t>
  </si>
  <si>
    <t>20220433</t>
  </si>
  <si>
    <t>20220434</t>
  </si>
  <si>
    <t>20220435</t>
  </si>
  <si>
    <t>20220436</t>
  </si>
  <si>
    <t>20230157</t>
  </si>
  <si>
    <t>互联网接入设备</t>
  </si>
  <si>
    <t>20230158</t>
  </si>
  <si>
    <t>20230159</t>
  </si>
  <si>
    <t>20230171</t>
  </si>
  <si>
    <t>20230403</t>
  </si>
  <si>
    <t>桌椅</t>
  </si>
  <si>
    <t>20230404</t>
  </si>
  <si>
    <t>20230405</t>
  </si>
  <si>
    <t>学生电脑桌椅</t>
  </si>
  <si>
    <t>20230718</t>
  </si>
  <si>
    <t>20230719</t>
  </si>
  <si>
    <t>20230720</t>
  </si>
  <si>
    <t>20230721</t>
  </si>
  <si>
    <t>20230722</t>
  </si>
  <si>
    <t>20230723</t>
  </si>
  <si>
    <t>20230724</t>
  </si>
  <si>
    <t>20230725</t>
  </si>
  <si>
    <t>20230726</t>
  </si>
  <si>
    <t>20230727</t>
  </si>
  <si>
    <t>20230728</t>
  </si>
  <si>
    <t>20230729</t>
  </si>
  <si>
    <t>20230730</t>
  </si>
  <si>
    <t>20230731</t>
  </si>
  <si>
    <t>20230732</t>
  </si>
  <si>
    <t>20230733</t>
  </si>
  <si>
    <t>20230734</t>
  </si>
  <si>
    <t>20230735</t>
  </si>
  <si>
    <t>20230736</t>
  </si>
  <si>
    <t>20230737</t>
  </si>
  <si>
    <t>20230738</t>
  </si>
  <si>
    <t>20230739</t>
  </si>
  <si>
    <t>20230740</t>
  </si>
  <si>
    <t>20230741</t>
  </si>
  <si>
    <t>20230742</t>
  </si>
  <si>
    <t>20230743</t>
  </si>
  <si>
    <t>20230744</t>
  </si>
  <si>
    <t>20230752</t>
  </si>
  <si>
    <t>20230753</t>
  </si>
  <si>
    <t>20230754</t>
  </si>
  <si>
    <t>20230755</t>
  </si>
  <si>
    <t>20230756</t>
  </si>
  <si>
    <t>20230757</t>
  </si>
  <si>
    <t>20230758</t>
  </si>
  <si>
    <t>20230759</t>
  </si>
  <si>
    <t>20230760</t>
  </si>
  <si>
    <t>20230761</t>
  </si>
  <si>
    <t>20230762</t>
  </si>
  <si>
    <t>20230763</t>
  </si>
  <si>
    <t>20230764</t>
  </si>
  <si>
    <t>20230765</t>
  </si>
  <si>
    <t>20230766</t>
  </si>
  <si>
    <t>20230767</t>
  </si>
  <si>
    <t>20230768</t>
  </si>
  <si>
    <t>20230769</t>
  </si>
  <si>
    <t>20230770</t>
  </si>
  <si>
    <t>20230771</t>
  </si>
  <si>
    <t>20230772</t>
  </si>
  <si>
    <t>20230960</t>
  </si>
  <si>
    <t>20231009</t>
  </si>
  <si>
    <t>20231010</t>
  </si>
  <si>
    <t>20231011</t>
  </si>
  <si>
    <t>希沃一体机</t>
  </si>
  <si>
    <t>20231012</t>
  </si>
  <si>
    <t>拼接屏</t>
  </si>
  <si>
    <t>20240948</t>
  </si>
  <si>
    <t>物联网工程技术人员嵌入式开发套件</t>
  </si>
  <si>
    <t>20240949</t>
  </si>
  <si>
    <t>20240950</t>
  </si>
  <si>
    <t>20240951</t>
  </si>
  <si>
    <t>20240952</t>
  </si>
  <si>
    <t>20240953</t>
  </si>
  <si>
    <t>20240954</t>
  </si>
  <si>
    <t>20240955</t>
  </si>
  <si>
    <t>20240956</t>
  </si>
  <si>
    <t>20240957</t>
  </si>
  <si>
    <t>20240958</t>
  </si>
  <si>
    <t>20240959</t>
  </si>
  <si>
    <t>20240960</t>
  </si>
  <si>
    <t>20240961</t>
  </si>
  <si>
    <t>20240962</t>
  </si>
  <si>
    <t>20240963</t>
  </si>
  <si>
    <t>20240964</t>
  </si>
  <si>
    <t>20240965</t>
  </si>
  <si>
    <t>20240966</t>
  </si>
  <si>
    <t>20240967</t>
  </si>
  <si>
    <t>20240968</t>
  </si>
  <si>
    <t>20240969</t>
  </si>
  <si>
    <t>20240970</t>
  </si>
  <si>
    <t>20240971</t>
  </si>
  <si>
    <t>20240972</t>
  </si>
  <si>
    <t>20240973</t>
  </si>
  <si>
    <t>20240974</t>
  </si>
  <si>
    <t>20240975</t>
  </si>
  <si>
    <t>20240976</t>
  </si>
  <si>
    <t>20240977</t>
  </si>
  <si>
    <t>20240978</t>
  </si>
  <si>
    <t>20240979</t>
  </si>
  <si>
    <t>20240980</t>
  </si>
  <si>
    <t>20240981</t>
  </si>
  <si>
    <t>20240982</t>
  </si>
  <si>
    <t>20240983</t>
  </si>
  <si>
    <t>20240984</t>
  </si>
  <si>
    <t>20240985</t>
  </si>
  <si>
    <t>20240986</t>
  </si>
  <si>
    <t>20240987</t>
  </si>
  <si>
    <t>20240988</t>
  </si>
  <si>
    <t>20240989</t>
  </si>
  <si>
    <t>20240990</t>
  </si>
  <si>
    <t>20240991</t>
  </si>
  <si>
    <t>20240992</t>
  </si>
  <si>
    <t>20240993</t>
  </si>
  <si>
    <t>20240994</t>
  </si>
  <si>
    <t>20240995</t>
  </si>
  <si>
    <t>20240996</t>
  </si>
  <si>
    <t>20240997</t>
  </si>
  <si>
    <t>20240998</t>
  </si>
  <si>
    <t>物联网系统集成仿真实验实训系统及应用平台</t>
  </si>
  <si>
    <t>20240999</t>
  </si>
  <si>
    <t>AIOT云平台管理及培训考核系统</t>
  </si>
  <si>
    <t>20100202</t>
  </si>
  <si>
    <t>20100205</t>
  </si>
  <si>
    <t>20100214</t>
  </si>
  <si>
    <t>20100215</t>
  </si>
  <si>
    <t>20110297</t>
  </si>
  <si>
    <t>20110556</t>
  </si>
  <si>
    <t>20110557</t>
  </si>
  <si>
    <t>20120282</t>
  </si>
  <si>
    <t>20120584</t>
  </si>
  <si>
    <t>20120663</t>
  </si>
  <si>
    <t>20121375</t>
  </si>
  <si>
    <t>20121376</t>
  </si>
  <si>
    <t>20121386</t>
  </si>
  <si>
    <t>20140137</t>
  </si>
  <si>
    <t>多媒体设备</t>
  </si>
  <si>
    <t>20140806</t>
  </si>
  <si>
    <t>20170269</t>
  </si>
  <si>
    <t>显微镜</t>
  </si>
  <si>
    <t>20170280</t>
  </si>
  <si>
    <t>20170281</t>
  </si>
  <si>
    <t>20170338</t>
  </si>
  <si>
    <t>20171419</t>
  </si>
  <si>
    <t>20180096</t>
  </si>
  <si>
    <t>20180097</t>
  </si>
  <si>
    <t>20180318</t>
  </si>
  <si>
    <t>20211576</t>
  </si>
  <si>
    <t>20040712</t>
  </si>
  <si>
    <t>20070638</t>
  </si>
  <si>
    <t>20070647</t>
  </si>
  <si>
    <t>20070651</t>
  </si>
  <si>
    <t>20070656</t>
  </si>
  <si>
    <t>20131041</t>
  </si>
  <si>
    <t>20131045</t>
  </si>
  <si>
    <t>20150180</t>
  </si>
  <si>
    <t>20160114</t>
  </si>
  <si>
    <t>三层交换机</t>
  </si>
  <si>
    <t>20160115</t>
  </si>
  <si>
    <t>20160116</t>
  </si>
  <si>
    <t>云基础架构平台软件</t>
  </si>
  <si>
    <t>20160117</t>
  </si>
  <si>
    <t>云开发平台软件</t>
  </si>
  <si>
    <t>20160118</t>
  </si>
  <si>
    <t>云计算安全框架软件</t>
  </si>
  <si>
    <t>20160119</t>
  </si>
  <si>
    <t>云服务器</t>
  </si>
  <si>
    <t>20160120</t>
  </si>
  <si>
    <t>云存储服务器</t>
  </si>
  <si>
    <t>20170339</t>
  </si>
  <si>
    <t>云计算技术与应用及服务平台</t>
  </si>
  <si>
    <t>20180093</t>
  </si>
  <si>
    <t>20211539</t>
  </si>
  <si>
    <t>20211540</t>
  </si>
  <si>
    <t>20211541</t>
  </si>
  <si>
    <t>20052023</t>
  </si>
  <si>
    <t>20052072</t>
  </si>
  <si>
    <t>20052148</t>
  </si>
  <si>
    <t>20052228</t>
  </si>
  <si>
    <t>20131035</t>
  </si>
  <si>
    <t>20131048</t>
  </si>
  <si>
    <t>20140122</t>
  </si>
  <si>
    <t>20180001</t>
  </si>
  <si>
    <t>智能交通仿真沙盘</t>
  </si>
  <si>
    <t>20180002</t>
  </si>
  <si>
    <t>后台服务器</t>
  </si>
  <si>
    <t>20180003</t>
  </si>
  <si>
    <t>移动互联开发平台</t>
  </si>
  <si>
    <t>20180004</t>
  </si>
  <si>
    <t>虚拟现实设计实训平台</t>
  </si>
  <si>
    <t>20180094</t>
  </si>
  <si>
    <t>20220242</t>
  </si>
  <si>
    <t>20220243</t>
  </si>
  <si>
    <t>20220244</t>
  </si>
  <si>
    <t>20220245</t>
  </si>
  <si>
    <t>20220246</t>
  </si>
  <si>
    <t>20220247</t>
  </si>
  <si>
    <t>20230229</t>
  </si>
  <si>
    <t>多功能一体机</t>
  </si>
  <si>
    <t>20230467</t>
  </si>
  <si>
    <t>20240261</t>
  </si>
  <si>
    <t>电子显示系统-VR眼镜头显</t>
  </si>
  <si>
    <t>20240265</t>
  </si>
  <si>
    <t>软件-短视频竞赛资源系统</t>
  </si>
  <si>
    <t>20051969</t>
  </si>
  <si>
    <t>20070629</t>
  </si>
  <si>
    <t>20140123</t>
  </si>
  <si>
    <t>20140136</t>
  </si>
  <si>
    <t>20180095</t>
  </si>
  <si>
    <t>20181108</t>
  </si>
  <si>
    <t>20181109</t>
  </si>
  <si>
    <t>20181113</t>
  </si>
  <si>
    <t>20171752</t>
  </si>
  <si>
    <t>20171772</t>
  </si>
  <si>
    <t>20180102</t>
  </si>
  <si>
    <t>20180103</t>
  </si>
  <si>
    <t>20190514</t>
  </si>
  <si>
    <t>物联网工程实训系统平台2.0</t>
  </si>
  <si>
    <t>20190782</t>
  </si>
  <si>
    <t>20190802</t>
  </si>
  <si>
    <t>20190825</t>
  </si>
  <si>
    <t>20201062</t>
  </si>
  <si>
    <t>20211557</t>
  </si>
  <si>
    <t>笔记本</t>
  </si>
  <si>
    <t>20211578</t>
  </si>
  <si>
    <t>20100746</t>
  </si>
  <si>
    <t>20121040</t>
  </si>
  <si>
    <t>打孔机</t>
  </si>
  <si>
    <t>20121378</t>
  </si>
  <si>
    <t>20121411</t>
  </si>
  <si>
    <t>20170077</t>
  </si>
  <si>
    <t>20180319</t>
  </si>
  <si>
    <t>20201043</t>
  </si>
  <si>
    <t>20211542</t>
  </si>
  <si>
    <t>网络摄像头</t>
  </si>
  <si>
    <t>20211543</t>
  </si>
  <si>
    <t>20211544</t>
  </si>
  <si>
    <t>硬盘</t>
  </si>
  <si>
    <t>20211545</t>
  </si>
  <si>
    <t>20211546</t>
  </si>
  <si>
    <t>20211547</t>
  </si>
  <si>
    <t>20211548</t>
  </si>
  <si>
    <t>内存</t>
  </si>
  <si>
    <t>20211549</t>
  </si>
  <si>
    <t>20211550</t>
  </si>
  <si>
    <t>20211551</t>
  </si>
  <si>
    <t>20030622</t>
  </si>
  <si>
    <t>20040709</t>
  </si>
  <si>
    <t>20050062</t>
  </si>
  <si>
    <t>20140138</t>
  </si>
  <si>
    <t>20180098</t>
  </si>
  <si>
    <t>20180099</t>
  </si>
  <si>
    <t>20220001</t>
  </si>
  <si>
    <t>20230235</t>
  </si>
  <si>
    <t>嵌入式系统实训开发装置</t>
  </si>
  <si>
    <t>20240710</t>
  </si>
  <si>
    <t>应用软件开发实训平台</t>
  </si>
  <si>
    <t>20070610</t>
  </si>
  <si>
    <t>20070644</t>
  </si>
  <si>
    <t>20070650</t>
  </si>
  <si>
    <t>20080185</t>
  </si>
  <si>
    <t>20080186</t>
  </si>
  <si>
    <t>20211575</t>
  </si>
  <si>
    <t>定制负载均衡</t>
  </si>
  <si>
    <t>20220237</t>
  </si>
  <si>
    <t>20220238</t>
  </si>
  <si>
    <t>神舟数码接口适配器</t>
  </si>
  <si>
    <t>20220239</t>
  </si>
  <si>
    <t>三层虚拟化交换机</t>
  </si>
  <si>
    <t>20220240</t>
  </si>
  <si>
    <t>20220241</t>
  </si>
  <si>
    <t>无线接入点</t>
  </si>
  <si>
    <t>20230511</t>
  </si>
  <si>
    <t>现教中心</t>
  </si>
  <si>
    <t>艺术与时尚创意学院</t>
  </si>
  <si>
    <t>20151102</t>
  </si>
  <si>
    <t>1</t>
  </si>
  <si>
    <t>20211609</t>
  </si>
  <si>
    <t>酷家乐教育版软件</t>
  </si>
  <si>
    <t>20211610</t>
  </si>
  <si>
    <t>20211611</t>
  </si>
  <si>
    <t>20211612</t>
  </si>
  <si>
    <t>20211613</t>
  </si>
  <si>
    <t>VR头显</t>
  </si>
  <si>
    <t>20211614</t>
  </si>
  <si>
    <t>20211615</t>
  </si>
  <si>
    <t>20211616</t>
  </si>
  <si>
    <t>电容物体识别定制台</t>
  </si>
  <si>
    <t>20220840</t>
  </si>
  <si>
    <t>20220841</t>
  </si>
  <si>
    <t>20220842</t>
  </si>
  <si>
    <t>20220843</t>
  </si>
  <si>
    <t>VBS音响</t>
  </si>
  <si>
    <t>20220844</t>
  </si>
  <si>
    <t>20220845</t>
  </si>
  <si>
    <t>话筒</t>
  </si>
  <si>
    <t>20220846</t>
  </si>
  <si>
    <t>智慧黑板E1</t>
  </si>
  <si>
    <t>20220847</t>
  </si>
  <si>
    <t>激光切割机</t>
  </si>
  <si>
    <t>20220848</t>
  </si>
  <si>
    <t>支架</t>
  </si>
  <si>
    <t>20230443</t>
  </si>
  <si>
    <t>室内模型与材料工作站</t>
  </si>
  <si>
    <t>20240129</t>
  </si>
  <si>
    <t>虚拟仿真配套软件</t>
  </si>
  <si>
    <t>20240130</t>
  </si>
  <si>
    <t>教育软件</t>
  </si>
  <si>
    <t>20130212</t>
  </si>
  <si>
    <t>20151113</t>
  </si>
  <si>
    <t>20151538</t>
  </si>
  <si>
    <t>20161007</t>
  </si>
  <si>
    <t>工业缝纫机</t>
  </si>
  <si>
    <t>20161008</t>
  </si>
  <si>
    <t>20161009</t>
  </si>
  <si>
    <t>20161010</t>
  </si>
  <si>
    <t>20161011</t>
  </si>
  <si>
    <t>20161012</t>
  </si>
  <si>
    <t>20161013</t>
  </si>
  <si>
    <t>20161014</t>
  </si>
  <si>
    <t>20161015</t>
  </si>
  <si>
    <t>20161016</t>
  </si>
  <si>
    <t>20161017</t>
  </si>
  <si>
    <t>20161018</t>
  </si>
  <si>
    <t>20161019</t>
  </si>
  <si>
    <t>20161020</t>
  </si>
  <si>
    <t>20161021</t>
  </si>
  <si>
    <t>20161022</t>
  </si>
  <si>
    <t>20161023</t>
  </si>
  <si>
    <t>20161024</t>
  </si>
  <si>
    <t>20161025</t>
  </si>
  <si>
    <t>20161026</t>
  </si>
  <si>
    <t>20161027</t>
  </si>
  <si>
    <t>20161028</t>
  </si>
  <si>
    <t>20161029</t>
  </si>
  <si>
    <t>20161030</t>
  </si>
  <si>
    <t>20161031</t>
  </si>
  <si>
    <t>20161032</t>
  </si>
  <si>
    <t>20161033</t>
  </si>
  <si>
    <t>20161034</t>
  </si>
  <si>
    <t>20161035</t>
  </si>
  <si>
    <t>20161036</t>
  </si>
  <si>
    <t>20161037</t>
  </si>
  <si>
    <t>拷边机</t>
  </si>
  <si>
    <t>20161038</t>
  </si>
  <si>
    <t>20161039</t>
  </si>
  <si>
    <t>烫台一体机</t>
  </si>
  <si>
    <t>20161040</t>
  </si>
  <si>
    <t>20161041</t>
  </si>
  <si>
    <t>立体裁剪人台</t>
  </si>
  <si>
    <t>20161042</t>
  </si>
  <si>
    <t>20161043</t>
  </si>
  <si>
    <t>20161044</t>
  </si>
  <si>
    <t>20161045</t>
  </si>
  <si>
    <t>20161046</t>
  </si>
  <si>
    <t>20161047</t>
  </si>
  <si>
    <t>20161048</t>
  </si>
  <si>
    <t>20161049</t>
  </si>
  <si>
    <t>20161050</t>
  </si>
  <si>
    <t>20161051</t>
  </si>
  <si>
    <t>20161052</t>
  </si>
  <si>
    <t>20161053</t>
  </si>
  <si>
    <t>20161054</t>
  </si>
  <si>
    <t>20161055</t>
  </si>
  <si>
    <t>20161056</t>
  </si>
  <si>
    <t>20161057</t>
  </si>
  <si>
    <t>20161058</t>
  </si>
  <si>
    <t>20161059</t>
  </si>
  <si>
    <t>20161060</t>
  </si>
  <si>
    <t>20161061</t>
  </si>
  <si>
    <t>20161062</t>
  </si>
  <si>
    <t>20161063</t>
  </si>
  <si>
    <t>20161064</t>
  </si>
  <si>
    <t>20161065</t>
  </si>
  <si>
    <t>20161066</t>
  </si>
  <si>
    <t>20161067</t>
  </si>
  <si>
    <t>20161068</t>
  </si>
  <si>
    <t>20161069</t>
  </si>
  <si>
    <t>20161070</t>
  </si>
  <si>
    <t>20161071</t>
  </si>
  <si>
    <t>20161072</t>
  </si>
  <si>
    <t>20161073</t>
  </si>
  <si>
    <t>20161074</t>
  </si>
  <si>
    <t>20161075</t>
  </si>
  <si>
    <t>20161076</t>
  </si>
  <si>
    <t>20161077</t>
  </si>
  <si>
    <t>20161078</t>
  </si>
  <si>
    <t>20161079</t>
  </si>
  <si>
    <t>20161080</t>
  </si>
  <si>
    <t>20161081</t>
  </si>
  <si>
    <t>20161082</t>
  </si>
  <si>
    <t>20161083</t>
  </si>
  <si>
    <t>20161084</t>
  </si>
  <si>
    <t>20161085</t>
  </si>
  <si>
    <t>20161086</t>
  </si>
  <si>
    <t>20161087</t>
  </si>
  <si>
    <t>20161088</t>
  </si>
  <si>
    <t>20161089</t>
  </si>
  <si>
    <t>20161090</t>
  </si>
  <si>
    <t>20161091</t>
  </si>
  <si>
    <t>20161092</t>
  </si>
  <si>
    <t>20161093</t>
  </si>
  <si>
    <t>20161094</t>
  </si>
  <si>
    <t>20161095</t>
  </si>
  <si>
    <t>下半身女人人台</t>
  </si>
  <si>
    <t>20161096</t>
  </si>
  <si>
    <t>20161097</t>
  </si>
  <si>
    <t>20170305</t>
  </si>
  <si>
    <t>服装模特道具</t>
  </si>
  <si>
    <t>20170306</t>
  </si>
  <si>
    <t>20170307</t>
  </si>
  <si>
    <t>20170308</t>
  </si>
  <si>
    <t>20190121</t>
  </si>
  <si>
    <t>CAD绘图仪</t>
  </si>
  <si>
    <t>20190122</t>
  </si>
  <si>
    <t>电子锁眼机</t>
  </si>
  <si>
    <t>20190123</t>
  </si>
  <si>
    <t>高速电子钉扣机</t>
  </si>
  <si>
    <t>20190125</t>
  </si>
  <si>
    <t>热熔粘合机</t>
  </si>
  <si>
    <t>20190764</t>
  </si>
  <si>
    <t>20210956</t>
  </si>
  <si>
    <t>吸尘器</t>
  </si>
  <si>
    <t>20151101</t>
  </si>
  <si>
    <t>20210705</t>
  </si>
  <si>
    <t>20210924</t>
  </si>
  <si>
    <t>手绘板45件</t>
  </si>
  <si>
    <t>20211021</t>
  </si>
  <si>
    <t>20211022</t>
  </si>
  <si>
    <t>工作站B</t>
  </si>
  <si>
    <t>20211023</t>
  </si>
  <si>
    <t>20211024</t>
  </si>
  <si>
    <t>20211025</t>
  </si>
  <si>
    <t>20211026</t>
  </si>
  <si>
    <t>20211027</t>
  </si>
  <si>
    <t>20211028</t>
  </si>
  <si>
    <t>20211029</t>
  </si>
  <si>
    <t>20211030</t>
  </si>
  <si>
    <t>20211031</t>
  </si>
  <si>
    <t>20211032</t>
  </si>
  <si>
    <t>20211033</t>
  </si>
  <si>
    <t>20211034</t>
  </si>
  <si>
    <t>20211035</t>
  </si>
  <si>
    <t>20211036</t>
  </si>
  <si>
    <t>20211037</t>
  </si>
  <si>
    <t>20211038</t>
  </si>
  <si>
    <t>20211039</t>
  </si>
  <si>
    <t>20211040</t>
  </si>
  <si>
    <t>20211041</t>
  </si>
  <si>
    <t>20211042</t>
  </si>
  <si>
    <t>20211043</t>
  </si>
  <si>
    <t>20211044</t>
  </si>
  <si>
    <t>20211045</t>
  </si>
  <si>
    <t>20211046</t>
  </si>
  <si>
    <t>20211047</t>
  </si>
  <si>
    <t>20211048</t>
  </si>
  <si>
    <t>20211049</t>
  </si>
  <si>
    <t>20211050</t>
  </si>
  <si>
    <t>20211051</t>
  </si>
  <si>
    <t>20211052</t>
  </si>
  <si>
    <t>20211053</t>
  </si>
  <si>
    <t>20211054</t>
  </si>
  <si>
    <t>20211055</t>
  </si>
  <si>
    <t>20211056</t>
  </si>
  <si>
    <t>20211057</t>
  </si>
  <si>
    <t>20211058</t>
  </si>
  <si>
    <t>20211059</t>
  </si>
  <si>
    <t>20211060</t>
  </si>
  <si>
    <t>20211061</t>
  </si>
  <si>
    <t>20211062</t>
  </si>
  <si>
    <t>工作站A</t>
  </si>
  <si>
    <t>20211063</t>
  </si>
  <si>
    <t>磁盘列阵NAS服务器</t>
  </si>
  <si>
    <t>20220065</t>
  </si>
  <si>
    <t>20220066</t>
  </si>
  <si>
    <t>监控摄像头</t>
  </si>
  <si>
    <t>20220067</t>
  </si>
  <si>
    <t>20220068</t>
  </si>
  <si>
    <t>20220069</t>
  </si>
  <si>
    <t>20220070</t>
  </si>
  <si>
    <t>20220071</t>
  </si>
  <si>
    <t>20220072</t>
  </si>
  <si>
    <t>拾音器</t>
  </si>
  <si>
    <t>20220073</t>
  </si>
  <si>
    <t>20220074</t>
  </si>
  <si>
    <t>20120985</t>
  </si>
  <si>
    <t>扫描仪</t>
  </si>
  <si>
    <t>20120994</t>
  </si>
  <si>
    <t>激光打印机</t>
  </si>
  <si>
    <t>20121007</t>
  </si>
  <si>
    <t>专业摄像机</t>
  </si>
  <si>
    <t>20121008</t>
  </si>
  <si>
    <t>20121009</t>
  </si>
  <si>
    <t>照像机</t>
  </si>
  <si>
    <t>20121011</t>
  </si>
  <si>
    <t>三角架和云台</t>
  </si>
  <si>
    <t>20121012</t>
  </si>
  <si>
    <t>20121013</t>
  </si>
  <si>
    <t>20121014</t>
  </si>
  <si>
    <t>20121018</t>
  </si>
  <si>
    <t>专业采访麦克</t>
  </si>
  <si>
    <t>20121027</t>
  </si>
  <si>
    <t>供电电池</t>
  </si>
  <si>
    <t>20121028</t>
  </si>
  <si>
    <t>20121029</t>
  </si>
  <si>
    <t>20121030</t>
  </si>
  <si>
    <t>20121034</t>
  </si>
  <si>
    <t>小摇臂</t>
  </si>
  <si>
    <t>20121288</t>
  </si>
  <si>
    <t>20121301</t>
  </si>
  <si>
    <t>20121302</t>
  </si>
  <si>
    <t>20121309</t>
  </si>
  <si>
    <t>20130137</t>
  </si>
  <si>
    <t>电子防潮箱等</t>
  </si>
  <si>
    <t>20141054</t>
  </si>
  <si>
    <t>20190681</t>
  </si>
  <si>
    <t>电影机</t>
  </si>
  <si>
    <t>20190682</t>
  </si>
  <si>
    <t>影视轨道</t>
  </si>
  <si>
    <t>20190683</t>
  </si>
  <si>
    <t>影视小摇臂</t>
  </si>
  <si>
    <t>20190685</t>
  </si>
  <si>
    <t>导演监视器</t>
  </si>
  <si>
    <t>20190686</t>
  </si>
  <si>
    <t>微单+镜头及配件</t>
  </si>
  <si>
    <t>20190687</t>
  </si>
  <si>
    <t>20190688</t>
  </si>
  <si>
    <t>专业镜头组</t>
  </si>
  <si>
    <t>20190689</t>
  </si>
  <si>
    <t>影视后期工作站</t>
  </si>
  <si>
    <t>20190690</t>
  </si>
  <si>
    <t>20190691</t>
  </si>
  <si>
    <t>20190692</t>
  </si>
  <si>
    <t>20190693</t>
  </si>
  <si>
    <t>干燥箱</t>
  </si>
  <si>
    <t>20190694</t>
  </si>
  <si>
    <t>20190695</t>
  </si>
  <si>
    <t>20190696</t>
  </si>
  <si>
    <t>20190697</t>
  </si>
  <si>
    <t>20190698</t>
  </si>
  <si>
    <t>20190699</t>
  </si>
  <si>
    <t>20190700</t>
  </si>
  <si>
    <t>20190701</t>
  </si>
  <si>
    <t>20210955</t>
  </si>
  <si>
    <t>高拍仪</t>
  </si>
  <si>
    <t>20221486</t>
  </si>
  <si>
    <t>相机DJI Action 2</t>
  </si>
  <si>
    <t>20221487</t>
  </si>
  <si>
    <t>20221488</t>
  </si>
  <si>
    <t>无人机DJI Air 2s</t>
  </si>
  <si>
    <t>20221489</t>
  </si>
  <si>
    <t>20221490</t>
  </si>
  <si>
    <t>手持稳定器OM6</t>
  </si>
  <si>
    <t>20221491</t>
  </si>
  <si>
    <t>20221492</t>
  </si>
  <si>
    <t>20221493</t>
  </si>
  <si>
    <t>20221494</t>
  </si>
  <si>
    <t>20221495</t>
  </si>
  <si>
    <t>20221496</t>
  </si>
  <si>
    <t>20221497</t>
  </si>
  <si>
    <t>20221498</t>
  </si>
  <si>
    <t>20221499</t>
  </si>
  <si>
    <t>20221500</t>
  </si>
  <si>
    <t>摄相机DJI Pocket 2</t>
  </si>
  <si>
    <t>20221501</t>
  </si>
  <si>
    <t>20221502</t>
  </si>
  <si>
    <t>20221503</t>
  </si>
  <si>
    <t>20221504</t>
  </si>
  <si>
    <t>20221505</t>
  </si>
  <si>
    <t>20221506</t>
  </si>
  <si>
    <t>20221507</t>
  </si>
  <si>
    <t>20221508</t>
  </si>
  <si>
    <t>20221509</t>
  </si>
  <si>
    <t>20221510</t>
  </si>
  <si>
    <t>稳定器DJI RS2</t>
  </si>
  <si>
    <t>20221511</t>
  </si>
  <si>
    <t>20221512</t>
  </si>
  <si>
    <t>稳定器DJI RSC2</t>
  </si>
  <si>
    <t>20221513</t>
  </si>
  <si>
    <t>20221514</t>
  </si>
  <si>
    <t>录音设备DJI Mic</t>
  </si>
  <si>
    <t>20221515</t>
  </si>
  <si>
    <t>20221516</t>
  </si>
  <si>
    <t>麦克风ECM-XYST1M</t>
  </si>
  <si>
    <t>20221517</t>
  </si>
  <si>
    <t>镜头索尼2470F2.8</t>
  </si>
  <si>
    <t>20221518</t>
  </si>
  <si>
    <t>镜头索尼1635F2.8</t>
  </si>
  <si>
    <t>20221519</t>
  </si>
  <si>
    <t>镜头索尼70200F2.8</t>
  </si>
  <si>
    <t>20221520</t>
  </si>
  <si>
    <t>麦克风ECM组合</t>
  </si>
  <si>
    <t>20221521</t>
  </si>
  <si>
    <t>镜头索尼551.8ZA</t>
  </si>
  <si>
    <t>20221522</t>
  </si>
  <si>
    <t>夹式监视器CLM-FHD5</t>
  </si>
  <si>
    <t>20221523</t>
  </si>
  <si>
    <t>照相机索尼A7S3含卡</t>
  </si>
  <si>
    <t>20221524</t>
  </si>
  <si>
    <t>照相机索尼A7M4含1635G+卡</t>
  </si>
  <si>
    <t>20221525</t>
  </si>
  <si>
    <t>相机索尼ZV-E10L套机</t>
  </si>
  <si>
    <t>20221526</t>
  </si>
  <si>
    <t>20221527</t>
  </si>
  <si>
    <t>相机索尼ZV-E10套装</t>
  </si>
  <si>
    <t>20221528</t>
  </si>
  <si>
    <t>20221529</t>
  </si>
  <si>
    <t>20221530</t>
  </si>
  <si>
    <t>20221531</t>
  </si>
  <si>
    <t>索尼小蜜蜂D21</t>
  </si>
  <si>
    <t>20221532</t>
  </si>
  <si>
    <t>斯莫格3181兔笼套装</t>
  </si>
  <si>
    <t>20221533</t>
  </si>
  <si>
    <t>阿童木监视器套餐</t>
  </si>
  <si>
    <t>20221534</t>
  </si>
  <si>
    <t>小玛400SPro</t>
  </si>
  <si>
    <t>20221535</t>
  </si>
  <si>
    <t>爱图仕柔光套装</t>
  </si>
  <si>
    <t>20221536</t>
  </si>
  <si>
    <t>爱图仕柔光箱</t>
  </si>
  <si>
    <t>20221537</t>
  </si>
  <si>
    <t>20221538</t>
  </si>
  <si>
    <t>20221539</t>
  </si>
  <si>
    <t>神牛闪客1200DII三灯</t>
  </si>
  <si>
    <t>20221540</t>
  </si>
  <si>
    <t>红蜘蛛校色仪</t>
  </si>
  <si>
    <t>20221541</t>
  </si>
  <si>
    <t>48校色色卡</t>
  </si>
  <si>
    <t>20221542</t>
  </si>
  <si>
    <t>H8+手提箱</t>
  </si>
  <si>
    <t>20221543</t>
  </si>
  <si>
    <t>RODE领夹麦克风</t>
  </si>
  <si>
    <t>20221544</t>
  </si>
  <si>
    <t>RODE领夹麦克风一拖四</t>
  </si>
  <si>
    <t>20221545</t>
  </si>
  <si>
    <t>RODE网课收音麦+监听耳机</t>
  </si>
  <si>
    <t>20221546</t>
  </si>
  <si>
    <t>嘉视影四路直播一体机</t>
  </si>
  <si>
    <t>20221547</t>
  </si>
  <si>
    <t>南冠电动背景轴</t>
  </si>
  <si>
    <t>20221548</t>
  </si>
  <si>
    <t>金贝拍摄台</t>
  </si>
  <si>
    <t>20221549</t>
  </si>
  <si>
    <t>双屏提词器</t>
  </si>
  <si>
    <t>20221550</t>
  </si>
  <si>
    <t>小型平板提词器</t>
  </si>
  <si>
    <t>20221551</t>
  </si>
  <si>
    <t>20221552</t>
  </si>
  <si>
    <t>监听同轴音箱</t>
  </si>
  <si>
    <t>20221553</t>
  </si>
  <si>
    <t>20221554</t>
  </si>
  <si>
    <t>动作捕捉仪+软件</t>
  </si>
  <si>
    <t>20221555</t>
  </si>
  <si>
    <t>VR眼镜VIVE</t>
  </si>
  <si>
    <t>20221556</t>
  </si>
  <si>
    <t>VR眼镜一体机</t>
  </si>
  <si>
    <t>20221557</t>
  </si>
  <si>
    <t>20221558</t>
  </si>
  <si>
    <t>20221559</t>
  </si>
  <si>
    <t>PiMAX头盔+基站+手柄</t>
  </si>
  <si>
    <t>20221560</t>
  </si>
  <si>
    <t>Neo 3 眼动追踪版</t>
  </si>
  <si>
    <t>20221561</t>
  </si>
  <si>
    <t>数位屏wacom</t>
  </si>
  <si>
    <t>20221562</t>
  </si>
  <si>
    <t>20221563</t>
  </si>
  <si>
    <t>数位屏wacom 1661</t>
  </si>
  <si>
    <t>20221564</t>
  </si>
  <si>
    <t>20221565</t>
  </si>
  <si>
    <t>20221566</t>
  </si>
  <si>
    <t>20221567</t>
  </si>
  <si>
    <t>20221568</t>
  </si>
  <si>
    <t>20221569</t>
  </si>
  <si>
    <t>小米大屏幕显示器</t>
  </si>
  <si>
    <t>20221570</t>
  </si>
  <si>
    <t>三维扫描仪</t>
  </si>
  <si>
    <t>20221571</t>
  </si>
  <si>
    <t>硬盘西数6T</t>
  </si>
  <si>
    <t>20221572</t>
  </si>
  <si>
    <t>20221573</t>
  </si>
  <si>
    <t>硬盘西数5T</t>
  </si>
  <si>
    <t>20221574</t>
  </si>
  <si>
    <t>20221575</t>
  </si>
  <si>
    <t>20221576</t>
  </si>
  <si>
    <t>VR课程：零基础学虚幻</t>
  </si>
  <si>
    <t>20221577</t>
  </si>
  <si>
    <t>VR课程：虚拟现实案例</t>
  </si>
  <si>
    <t>20221578</t>
  </si>
  <si>
    <t>闪光灯</t>
  </si>
  <si>
    <t>20221579</t>
  </si>
  <si>
    <t>无人机DJI Mavic3</t>
  </si>
  <si>
    <t>20221582</t>
  </si>
  <si>
    <t>20221583</t>
  </si>
  <si>
    <t>20221584</t>
  </si>
  <si>
    <t>20221585</t>
  </si>
  <si>
    <t>20221586</t>
  </si>
  <si>
    <t>20221587</t>
  </si>
  <si>
    <t>20221588</t>
  </si>
  <si>
    <t>20221589</t>
  </si>
  <si>
    <t>20221590</t>
  </si>
  <si>
    <t>20150626</t>
  </si>
  <si>
    <t>20150628</t>
  </si>
  <si>
    <t>20150631</t>
  </si>
  <si>
    <t>20150635</t>
  </si>
  <si>
    <t>20150636</t>
  </si>
  <si>
    <t>20150643</t>
  </si>
  <si>
    <t>20150644</t>
  </si>
  <si>
    <t>20151070</t>
  </si>
  <si>
    <t>20151093</t>
  </si>
  <si>
    <t>20151127</t>
  </si>
  <si>
    <t>实物展示直播台</t>
  </si>
  <si>
    <t>20221058</t>
  </si>
  <si>
    <t>20221059</t>
  </si>
  <si>
    <t>20221060</t>
  </si>
  <si>
    <t>20221061</t>
  </si>
  <si>
    <t>20221062</t>
  </si>
  <si>
    <t>20221063</t>
  </si>
  <si>
    <t>20221064</t>
  </si>
  <si>
    <t>20221065</t>
  </si>
  <si>
    <t>20221066</t>
  </si>
  <si>
    <t>20221067</t>
  </si>
  <si>
    <t>20221068</t>
  </si>
  <si>
    <t>20221069</t>
  </si>
  <si>
    <t>20221070</t>
  </si>
  <si>
    <t>20221071</t>
  </si>
  <si>
    <t>20221072</t>
  </si>
  <si>
    <t>20221073</t>
  </si>
  <si>
    <t>20221074</t>
  </si>
  <si>
    <t>20221075</t>
  </si>
  <si>
    <t>20221076</t>
  </si>
  <si>
    <t>20221077</t>
  </si>
  <si>
    <t>20221078</t>
  </si>
  <si>
    <t>20221079</t>
  </si>
  <si>
    <t>20221080</t>
  </si>
  <si>
    <t>20221081</t>
  </si>
  <si>
    <t>20221082</t>
  </si>
  <si>
    <t>20221083</t>
  </si>
  <si>
    <t>20221084</t>
  </si>
  <si>
    <t>20221085</t>
  </si>
  <si>
    <t>20221086</t>
  </si>
  <si>
    <t>20221087</t>
  </si>
  <si>
    <t>20221088</t>
  </si>
  <si>
    <t>20221089</t>
  </si>
  <si>
    <t>20221090</t>
  </si>
  <si>
    <t>20221091</t>
  </si>
  <si>
    <t>20221092</t>
  </si>
  <si>
    <t>20221093</t>
  </si>
  <si>
    <t>20221094</t>
  </si>
  <si>
    <t>20221095</t>
  </si>
  <si>
    <t>20221096</t>
  </si>
  <si>
    <t>20221097</t>
  </si>
  <si>
    <t>20221098</t>
  </si>
  <si>
    <t>20221108</t>
  </si>
  <si>
    <t>小间距LED显示屏</t>
  </si>
  <si>
    <t>20221109</t>
  </si>
  <si>
    <t>20221110</t>
  </si>
  <si>
    <t>20221111</t>
  </si>
  <si>
    <t>20221401</t>
  </si>
  <si>
    <t>江波管理软件*41</t>
  </si>
  <si>
    <t>20221449</t>
  </si>
  <si>
    <t>20221450</t>
  </si>
  <si>
    <t>无线话筒</t>
  </si>
  <si>
    <t>20221451</t>
  </si>
  <si>
    <t>20221452</t>
  </si>
  <si>
    <t>20221453</t>
  </si>
  <si>
    <t>20221454</t>
  </si>
  <si>
    <t>20221455</t>
  </si>
  <si>
    <t>20121292</t>
  </si>
  <si>
    <t>20151018</t>
  </si>
  <si>
    <t>20151019</t>
  </si>
  <si>
    <t>20151020</t>
  </si>
  <si>
    <t>20151021</t>
  </si>
  <si>
    <t>20151022</t>
  </si>
  <si>
    <t>20151023</t>
  </si>
  <si>
    <t>20151024</t>
  </si>
  <si>
    <t>20151025</t>
  </si>
  <si>
    <t>20151026</t>
  </si>
  <si>
    <t>20151027</t>
  </si>
  <si>
    <t>20151028</t>
  </si>
  <si>
    <t>20151029</t>
  </si>
  <si>
    <t>20151030</t>
  </si>
  <si>
    <t>20151031</t>
  </si>
  <si>
    <t>20151032</t>
  </si>
  <si>
    <t>20151037</t>
  </si>
  <si>
    <t>20151038</t>
  </si>
  <si>
    <t>20151039</t>
  </si>
  <si>
    <t>20151040</t>
  </si>
  <si>
    <t>20151041</t>
  </si>
  <si>
    <t>20151042</t>
  </si>
  <si>
    <t>20151043</t>
  </si>
  <si>
    <t>20151044</t>
  </si>
  <si>
    <t>20151045</t>
  </si>
  <si>
    <t>20151046</t>
  </si>
  <si>
    <t>20151047</t>
  </si>
  <si>
    <t>20151048</t>
  </si>
  <si>
    <t>20151049</t>
  </si>
  <si>
    <t>20151050</t>
  </si>
  <si>
    <t>20151051</t>
  </si>
  <si>
    <t>20151052</t>
  </si>
  <si>
    <t>20151053</t>
  </si>
  <si>
    <t>20151054</t>
  </si>
  <si>
    <t>20151055</t>
  </si>
  <si>
    <t>20151056</t>
  </si>
  <si>
    <t>20151057</t>
  </si>
  <si>
    <t>20170325</t>
  </si>
  <si>
    <t>20170389</t>
  </si>
  <si>
    <t>20170848</t>
  </si>
  <si>
    <t>20170849</t>
  </si>
  <si>
    <t>20170850</t>
  </si>
  <si>
    <t>智能反馈抑制器</t>
  </si>
  <si>
    <t>20170851</t>
  </si>
  <si>
    <t>智能混音器</t>
  </si>
  <si>
    <t>20170852</t>
  </si>
  <si>
    <t>20170853</t>
  </si>
  <si>
    <t>20170854</t>
  </si>
  <si>
    <t>20170855</t>
  </si>
  <si>
    <t>20210140</t>
  </si>
  <si>
    <t>调音台</t>
  </si>
  <si>
    <t>20120971</t>
  </si>
  <si>
    <t>电脑平缝机</t>
  </si>
  <si>
    <t>20141172</t>
  </si>
  <si>
    <t>20190065</t>
  </si>
  <si>
    <t>20190066</t>
  </si>
  <si>
    <t>20190067</t>
  </si>
  <si>
    <t>20190068</t>
  </si>
  <si>
    <t>20190069</t>
  </si>
  <si>
    <t>20190070</t>
  </si>
  <si>
    <t>20190071</t>
  </si>
  <si>
    <t>20190072</t>
  </si>
  <si>
    <t>20190073</t>
  </si>
  <si>
    <t>20190074</t>
  </si>
  <si>
    <t>20190075</t>
  </si>
  <si>
    <t>20190076</t>
  </si>
  <si>
    <t>20190077</t>
  </si>
  <si>
    <t>20190078</t>
  </si>
  <si>
    <t>20190079</t>
  </si>
  <si>
    <t>20190080</t>
  </si>
  <si>
    <t>20190081</t>
  </si>
  <si>
    <t>20190082</t>
  </si>
  <si>
    <t>20190083</t>
  </si>
  <si>
    <t>20190084</t>
  </si>
  <si>
    <t>20190085</t>
  </si>
  <si>
    <t>20190086</t>
  </si>
  <si>
    <t>20190087</t>
  </si>
  <si>
    <t>20190088</t>
  </si>
  <si>
    <t>20190089</t>
  </si>
  <si>
    <t>20190090</t>
  </si>
  <si>
    <t>20190091</t>
  </si>
  <si>
    <t>20190092</t>
  </si>
  <si>
    <t>20190093</t>
  </si>
  <si>
    <t>20190094</t>
  </si>
  <si>
    <t>20190095</t>
  </si>
  <si>
    <t>20190096</t>
  </si>
  <si>
    <t>20190097</t>
  </si>
  <si>
    <t>20190098</t>
  </si>
  <si>
    <t>20190099</t>
  </si>
  <si>
    <t>20190100</t>
  </si>
  <si>
    <t>20190115</t>
  </si>
  <si>
    <t>20190116</t>
  </si>
  <si>
    <t>20190124</t>
  </si>
  <si>
    <t>四针六线拼缝机</t>
  </si>
  <si>
    <t>20190126</t>
  </si>
  <si>
    <t>20190127</t>
  </si>
  <si>
    <t>密三线包缝机</t>
  </si>
  <si>
    <t>20190128</t>
  </si>
  <si>
    <t>20190131</t>
  </si>
  <si>
    <t>三线包缝机</t>
  </si>
  <si>
    <t>20190132</t>
  </si>
  <si>
    <t>20190133</t>
  </si>
  <si>
    <t>20190134</t>
  </si>
  <si>
    <t>八针橡筋机</t>
  </si>
  <si>
    <t>20190135</t>
  </si>
  <si>
    <t>投影幕布</t>
  </si>
  <si>
    <t>20190173</t>
  </si>
  <si>
    <t>20190175</t>
  </si>
  <si>
    <t>黑板</t>
  </si>
  <si>
    <t>20190179</t>
  </si>
  <si>
    <t>扩音设备</t>
  </si>
  <si>
    <t>20210957</t>
  </si>
  <si>
    <t>20190101</t>
  </si>
  <si>
    <t>20190102</t>
  </si>
  <si>
    <t>20190103</t>
  </si>
  <si>
    <t>20190104</t>
  </si>
  <si>
    <t>20190105</t>
  </si>
  <si>
    <t>20190106</t>
  </si>
  <si>
    <t>20190129</t>
  </si>
  <si>
    <t>电脑拼布一体机</t>
  </si>
  <si>
    <t>20190130</t>
  </si>
  <si>
    <t>20190171</t>
  </si>
  <si>
    <t>皮具工业缝纫机</t>
  </si>
  <si>
    <t>20220114</t>
  </si>
  <si>
    <t>服装CAD制版软件</t>
  </si>
  <si>
    <t>20220134</t>
  </si>
  <si>
    <t>人台</t>
  </si>
  <si>
    <t>20220135</t>
  </si>
  <si>
    <t>20220136</t>
  </si>
  <si>
    <t>20220137</t>
  </si>
  <si>
    <t>20230238</t>
  </si>
  <si>
    <t>20230239</t>
  </si>
  <si>
    <t>20230240</t>
  </si>
  <si>
    <t>20230241</t>
  </si>
  <si>
    <t>20230242</t>
  </si>
  <si>
    <t>20230243</t>
  </si>
  <si>
    <t>20230461</t>
  </si>
  <si>
    <t>20230462</t>
  </si>
  <si>
    <t>20230463</t>
  </si>
  <si>
    <t>20230464</t>
  </si>
  <si>
    <t>20230465</t>
  </si>
  <si>
    <t>20230466</t>
  </si>
  <si>
    <t>20100165</t>
  </si>
  <si>
    <t>20120374</t>
  </si>
  <si>
    <t>20170509</t>
  </si>
  <si>
    <t>20171662</t>
  </si>
  <si>
    <t>拉坯机</t>
  </si>
  <si>
    <t>20171663</t>
  </si>
  <si>
    <t>20171664</t>
  </si>
  <si>
    <t>20171665</t>
  </si>
  <si>
    <t>20171666</t>
  </si>
  <si>
    <t>20200829</t>
  </si>
  <si>
    <t>窑炉电炉</t>
  </si>
  <si>
    <t>20220106</t>
  </si>
  <si>
    <t>喷釉机</t>
  </si>
  <si>
    <t>20230083</t>
  </si>
  <si>
    <t>20230084</t>
  </si>
  <si>
    <t>20230085</t>
  </si>
  <si>
    <t>20230086</t>
  </si>
  <si>
    <t>20230087</t>
  </si>
  <si>
    <t>20230088</t>
  </si>
  <si>
    <t>20230089</t>
  </si>
  <si>
    <t>20230090</t>
  </si>
  <si>
    <t>20230091</t>
  </si>
  <si>
    <t>20230092</t>
  </si>
  <si>
    <t>20230093</t>
  </si>
  <si>
    <t>柜、橱、箱</t>
  </si>
  <si>
    <t>20230094</t>
  </si>
  <si>
    <t>20240001</t>
  </si>
  <si>
    <t>多媒体视听设备</t>
  </si>
  <si>
    <t>20100149</t>
  </si>
  <si>
    <t>20100151</t>
  </si>
  <si>
    <t>20121265</t>
  </si>
  <si>
    <t>20121293</t>
  </si>
  <si>
    <t>20121294</t>
  </si>
  <si>
    <t>20121316</t>
  </si>
  <si>
    <t>20150186</t>
  </si>
  <si>
    <t>20170474</t>
  </si>
  <si>
    <t>20180809</t>
  </si>
  <si>
    <t>20181227</t>
  </si>
  <si>
    <t>20200780</t>
  </si>
  <si>
    <t>20200783</t>
  </si>
  <si>
    <t>20200784</t>
  </si>
  <si>
    <t>20200785</t>
  </si>
  <si>
    <t>20200786</t>
  </si>
  <si>
    <t>20200787</t>
  </si>
  <si>
    <t>20200788</t>
  </si>
  <si>
    <t>20200789</t>
  </si>
  <si>
    <t>20200790</t>
  </si>
  <si>
    <t>20200791</t>
  </si>
  <si>
    <t>20200792</t>
  </si>
  <si>
    <t>20200793</t>
  </si>
  <si>
    <t>20200794</t>
  </si>
  <si>
    <t>20200795</t>
  </si>
  <si>
    <t>20200796</t>
  </si>
  <si>
    <t>20200797</t>
  </si>
  <si>
    <t>20200798</t>
  </si>
  <si>
    <t>20200799</t>
  </si>
  <si>
    <t>20200800</t>
  </si>
  <si>
    <t>20200801</t>
  </si>
  <si>
    <t>20200802</t>
  </si>
  <si>
    <t>20200803</t>
  </si>
  <si>
    <t>20200804</t>
  </si>
  <si>
    <t>20200805</t>
  </si>
  <si>
    <t>20200806</t>
  </si>
  <si>
    <t>20200807</t>
  </si>
  <si>
    <t>20200808</t>
  </si>
  <si>
    <t>20200809</t>
  </si>
  <si>
    <t>20200810</t>
  </si>
  <si>
    <t>20200811</t>
  </si>
  <si>
    <t>20200812</t>
  </si>
  <si>
    <t>20200813</t>
  </si>
  <si>
    <t>20200814</t>
  </si>
  <si>
    <t>多媒体展台</t>
  </si>
  <si>
    <t>20200817</t>
  </si>
  <si>
    <t>20200818</t>
  </si>
  <si>
    <t>20200823</t>
  </si>
  <si>
    <t>高清转换器</t>
  </si>
  <si>
    <t>20200825</t>
  </si>
  <si>
    <t>20201155</t>
  </si>
  <si>
    <t>20150902</t>
  </si>
  <si>
    <t>20151001</t>
  </si>
  <si>
    <t>20151008</t>
  </si>
  <si>
    <t>20151015</t>
  </si>
  <si>
    <t>20151017</t>
  </si>
  <si>
    <t>20151090</t>
  </si>
  <si>
    <t>20151122</t>
  </si>
  <si>
    <t>20151540</t>
  </si>
  <si>
    <t>20151543</t>
  </si>
  <si>
    <t>20151544</t>
  </si>
  <si>
    <t>20151548</t>
  </si>
  <si>
    <t>20151549</t>
  </si>
  <si>
    <t>20151553</t>
  </si>
  <si>
    <t>20151556</t>
  </si>
  <si>
    <t>20151557</t>
  </si>
  <si>
    <t>20151558</t>
  </si>
  <si>
    <t>20151559</t>
  </si>
  <si>
    <t>20151560</t>
  </si>
  <si>
    <t>20151562</t>
  </si>
  <si>
    <t>20151570</t>
  </si>
  <si>
    <t>20151572</t>
  </si>
  <si>
    <t>20151573</t>
  </si>
  <si>
    <t>20151575</t>
  </si>
  <si>
    <t>20151577</t>
  </si>
  <si>
    <t>20151580</t>
  </si>
  <si>
    <t>20160987</t>
  </si>
  <si>
    <t>20160988</t>
  </si>
  <si>
    <t>20161240</t>
  </si>
  <si>
    <t>音响及功放</t>
  </si>
  <si>
    <t>20150998</t>
  </si>
  <si>
    <t>20150999</t>
  </si>
  <si>
    <t>20151003</t>
  </si>
  <si>
    <t>20151004</t>
  </si>
  <si>
    <t>20151005</t>
  </si>
  <si>
    <t>20151006</t>
  </si>
  <si>
    <t>20151009</t>
  </si>
  <si>
    <t>20151010</t>
  </si>
  <si>
    <t>20151012</t>
  </si>
  <si>
    <t>20151013</t>
  </si>
  <si>
    <t>20151014</t>
  </si>
  <si>
    <t>20151016</t>
  </si>
  <si>
    <t>20151073</t>
  </si>
  <si>
    <t>20151118</t>
  </si>
  <si>
    <t>20151537</t>
  </si>
  <si>
    <t>20150478</t>
  </si>
  <si>
    <t>20150480</t>
  </si>
  <si>
    <t>20150481</t>
  </si>
  <si>
    <t>20150483</t>
  </si>
  <si>
    <t>20150485</t>
  </si>
  <si>
    <t>20150486</t>
  </si>
  <si>
    <t>20150487</t>
  </si>
  <si>
    <t>20150488</t>
  </si>
  <si>
    <t>20150489</t>
  </si>
  <si>
    <t>20150490</t>
  </si>
  <si>
    <t>20150491</t>
  </si>
  <si>
    <t>20150492</t>
  </si>
  <si>
    <t>20150493</t>
  </si>
  <si>
    <t>20150494</t>
  </si>
  <si>
    <t>20150495</t>
  </si>
  <si>
    <t>20150496</t>
  </si>
  <si>
    <t>20150497</t>
  </si>
  <si>
    <t>20150498</t>
  </si>
  <si>
    <t>20150499</t>
  </si>
  <si>
    <t>20150500</t>
  </si>
  <si>
    <t>20150501</t>
  </si>
  <si>
    <t>20150502</t>
  </si>
  <si>
    <t>20150503</t>
  </si>
  <si>
    <t>20150505</t>
  </si>
  <si>
    <t>20150507</t>
  </si>
  <si>
    <t>20150508</t>
  </si>
  <si>
    <t>20151002</t>
  </si>
  <si>
    <t>20151062</t>
  </si>
  <si>
    <t>20151103</t>
  </si>
  <si>
    <t>20151125</t>
  </si>
  <si>
    <t>20100159</t>
  </si>
  <si>
    <t>20150646</t>
  </si>
  <si>
    <t>20150647</t>
  </si>
  <si>
    <t>20150648</t>
  </si>
  <si>
    <t>20150649</t>
  </si>
  <si>
    <t>20150650</t>
  </si>
  <si>
    <t>20150651</t>
  </si>
  <si>
    <t>20150652</t>
  </si>
  <si>
    <t>20150653</t>
  </si>
  <si>
    <t>20150654</t>
  </si>
  <si>
    <t>20150655</t>
  </si>
  <si>
    <t>20150656</t>
  </si>
  <si>
    <t>20150657</t>
  </si>
  <si>
    <t>20150658</t>
  </si>
  <si>
    <t>20150659</t>
  </si>
  <si>
    <t>20150660</t>
  </si>
  <si>
    <t>20150661</t>
  </si>
  <si>
    <t>20150662</t>
  </si>
  <si>
    <t>20150663</t>
  </si>
  <si>
    <t>20150664</t>
  </si>
  <si>
    <t>20150665</t>
  </si>
  <si>
    <t>20150666</t>
  </si>
  <si>
    <t>20151074</t>
  </si>
  <si>
    <t>20151096</t>
  </si>
  <si>
    <t>20151134</t>
  </si>
  <si>
    <t>20150667</t>
  </si>
  <si>
    <t>20150668</t>
  </si>
  <si>
    <t>20150669</t>
  </si>
  <si>
    <t>20150670</t>
  </si>
  <si>
    <t>20150671</t>
  </si>
  <si>
    <t>20150672</t>
  </si>
  <si>
    <t>20150673</t>
  </si>
  <si>
    <t>20150674</t>
  </si>
  <si>
    <t>20150675</t>
  </si>
  <si>
    <t>20150676</t>
  </si>
  <si>
    <t>20150677</t>
  </si>
  <si>
    <t>20150678</t>
  </si>
  <si>
    <t>20150680</t>
  </si>
  <si>
    <t>20150681</t>
  </si>
  <si>
    <t>20150682</t>
  </si>
  <si>
    <t>20150683</t>
  </si>
  <si>
    <t>20150684</t>
  </si>
  <si>
    <t>20150685</t>
  </si>
  <si>
    <t>20150686</t>
  </si>
  <si>
    <t>20150687</t>
  </si>
  <si>
    <t>20151076</t>
  </si>
  <si>
    <t>20151097</t>
  </si>
  <si>
    <t>20151117</t>
  </si>
  <si>
    <t>20150688</t>
  </si>
  <si>
    <t>20150689</t>
  </si>
  <si>
    <t>20150690</t>
  </si>
  <si>
    <t>20150691</t>
  </si>
  <si>
    <t>20150692</t>
  </si>
  <si>
    <t>20150693</t>
  </si>
  <si>
    <t>20150694</t>
  </si>
  <si>
    <t>20150695</t>
  </si>
  <si>
    <t>20150696</t>
  </si>
  <si>
    <t>20150697</t>
  </si>
  <si>
    <t>20150698</t>
  </si>
  <si>
    <t>20150699</t>
  </si>
  <si>
    <t>20150700</t>
  </si>
  <si>
    <t>20150701</t>
  </si>
  <si>
    <t>20150702</t>
  </si>
  <si>
    <t>20150703</t>
  </si>
  <si>
    <t>20150704</t>
  </si>
  <si>
    <t>20150705</t>
  </si>
  <si>
    <t>20150706</t>
  </si>
  <si>
    <t>20150707</t>
  </si>
  <si>
    <t>20150708</t>
  </si>
  <si>
    <t>20151065</t>
  </si>
  <si>
    <t>20151098</t>
  </si>
  <si>
    <t>20151119</t>
  </si>
  <si>
    <t>20150565</t>
  </si>
  <si>
    <t>20150573</t>
  </si>
  <si>
    <t>20150709</t>
  </si>
  <si>
    <t>20150710</t>
  </si>
  <si>
    <t>20150711</t>
  </si>
  <si>
    <t>20150712</t>
  </si>
  <si>
    <t>20150715</t>
  </si>
  <si>
    <t>20150717</t>
  </si>
  <si>
    <t>20150718</t>
  </si>
  <si>
    <t>20150719</t>
  </si>
  <si>
    <t>20150720</t>
  </si>
  <si>
    <t>20150721</t>
  </si>
  <si>
    <t>20150722</t>
  </si>
  <si>
    <t>20150723</t>
  </si>
  <si>
    <t>20150724</t>
  </si>
  <si>
    <t>20150725</t>
  </si>
  <si>
    <t>20150726</t>
  </si>
  <si>
    <t>20150727</t>
  </si>
  <si>
    <t>20150728</t>
  </si>
  <si>
    <t>20151063</t>
  </si>
  <si>
    <t>20151099</t>
  </si>
  <si>
    <t>20151135</t>
  </si>
  <si>
    <t>20100160</t>
  </si>
  <si>
    <t>20150730</t>
  </si>
  <si>
    <t>20150731</t>
  </si>
  <si>
    <t>20150732</t>
  </si>
  <si>
    <t>20150733</t>
  </si>
  <si>
    <t>20150734</t>
  </si>
  <si>
    <t>20150735</t>
  </si>
  <si>
    <t>20150736</t>
  </si>
  <si>
    <t>20150737</t>
  </si>
  <si>
    <t>20150738</t>
  </si>
  <si>
    <t>20150739</t>
  </si>
  <si>
    <t>20150740</t>
  </si>
  <si>
    <t>20150741</t>
  </si>
  <si>
    <t>20150742</t>
  </si>
  <si>
    <t>20150743</t>
  </si>
  <si>
    <t>20150744</t>
  </si>
  <si>
    <t>20150745</t>
  </si>
  <si>
    <t>20150746</t>
  </si>
  <si>
    <t>20150747</t>
  </si>
  <si>
    <t>20150748</t>
  </si>
  <si>
    <t>20150749</t>
  </si>
  <si>
    <t>20150750</t>
  </si>
  <si>
    <t>20151064</t>
  </si>
  <si>
    <t>20151100</t>
  </si>
  <si>
    <t>20151114</t>
  </si>
  <si>
    <t>20150751</t>
  </si>
  <si>
    <t>20150752</t>
  </si>
  <si>
    <t>20150753</t>
  </si>
  <si>
    <t>20150754</t>
  </si>
  <si>
    <t>20150755</t>
  </si>
  <si>
    <t>20150756</t>
  </si>
  <si>
    <t>20150757</t>
  </si>
  <si>
    <t>20150758</t>
  </si>
  <si>
    <t>20150759</t>
  </si>
  <si>
    <t>20150760</t>
  </si>
  <si>
    <t>20150761</t>
  </si>
  <si>
    <t>20150762</t>
  </si>
  <si>
    <t>20150763</t>
  </si>
  <si>
    <t>20150764</t>
  </si>
  <si>
    <t>20150765</t>
  </si>
  <si>
    <t>20150767</t>
  </si>
  <si>
    <t>20150768</t>
  </si>
  <si>
    <t>20150769</t>
  </si>
  <si>
    <t>20150770</t>
  </si>
  <si>
    <t>20150771</t>
  </si>
  <si>
    <t>20151066</t>
  </si>
  <si>
    <t>20151104</t>
  </si>
  <si>
    <t>20151116</t>
  </si>
  <si>
    <t>20150772</t>
  </si>
  <si>
    <t>20150773</t>
  </si>
  <si>
    <t>20150774</t>
  </si>
  <si>
    <t>20150775</t>
  </si>
  <si>
    <t>20150776</t>
  </si>
  <si>
    <t>20150777</t>
  </si>
  <si>
    <t>20150778</t>
  </si>
  <si>
    <t>20150779</t>
  </si>
  <si>
    <t>20150780</t>
  </si>
  <si>
    <t>20150781</t>
  </si>
  <si>
    <t>20150782</t>
  </si>
  <si>
    <t>20150783</t>
  </si>
  <si>
    <t>20150784</t>
  </si>
  <si>
    <t>20150785</t>
  </si>
  <si>
    <t>20150786</t>
  </si>
  <si>
    <t>20150787</t>
  </si>
  <si>
    <t>20150788</t>
  </si>
  <si>
    <t>20150789</t>
  </si>
  <si>
    <t>20150790</t>
  </si>
  <si>
    <t>20150791</t>
  </si>
  <si>
    <t>20150792</t>
  </si>
  <si>
    <t>20151071</t>
  </si>
  <si>
    <t>20151105</t>
  </si>
  <si>
    <t>20151138</t>
  </si>
  <si>
    <t>20150793</t>
  </si>
  <si>
    <t>20150794</t>
  </si>
  <si>
    <t>20150795</t>
  </si>
  <si>
    <t>20150796</t>
  </si>
  <si>
    <t>20150797</t>
  </si>
  <si>
    <t>20150798</t>
  </si>
  <si>
    <t>20150799</t>
  </si>
  <si>
    <t>20150800</t>
  </si>
  <si>
    <t>20150801</t>
  </si>
  <si>
    <t>20150802</t>
  </si>
  <si>
    <t>20150803</t>
  </si>
  <si>
    <t>20150804</t>
  </si>
  <si>
    <t>20150805</t>
  </si>
  <si>
    <t>20150806</t>
  </si>
  <si>
    <t>20150807</t>
  </si>
  <si>
    <t>20150809</t>
  </si>
  <si>
    <t>20150810</t>
  </si>
  <si>
    <t>20150811</t>
  </si>
  <si>
    <t>20150812</t>
  </si>
  <si>
    <t>20150813</t>
  </si>
  <si>
    <t>20151058</t>
  </si>
  <si>
    <t>20151106</t>
  </si>
  <si>
    <t>20151130</t>
  </si>
  <si>
    <t>20150814</t>
  </si>
  <si>
    <t>20150815</t>
  </si>
  <si>
    <t>20150816</t>
  </si>
  <si>
    <t>20150817</t>
  </si>
  <si>
    <t>20150818</t>
  </si>
  <si>
    <t>20150819</t>
  </si>
  <si>
    <t>20150820</t>
  </si>
  <si>
    <t>20150821</t>
  </si>
  <si>
    <t>20150822</t>
  </si>
  <si>
    <t>20150823</t>
  </si>
  <si>
    <t>20150824</t>
  </si>
  <si>
    <t>20150825</t>
  </si>
  <si>
    <t>20150826</t>
  </si>
  <si>
    <t>20150827</t>
  </si>
  <si>
    <t>20150828</t>
  </si>
  <si>
    <t>20150829</t>
  </si>
  <si>
    <t>20150831</t>
  </si>
  <si>
    <t>20150832</t>
  </si>
  <si>
    <t>20150833</t>
  </si>
  <si>
    <t>20150834</t>
  </si>
  <si>
    <t>20151068</t>
  </si>
  <si>
    <t>20151107</t>
  </si>
  <si>
    <t>20151131</t>
  </si>
  <si>
    <t>20150835</t>
  </si>
  <si>
    <t>20150836</t>
  </si>
  <si>
    <t>20150837</t>
  </si>
  <si>
    <t>20150838</t>
  </si>
  <si>
    <t>20150839</t>
  </si>
  <si>
    <t>20150840</t>
  </si>
  <si>
    <t>20150841</t>
  </si>
  <si>
    <t>20150842</t>
  </si>
  <si>
    <t>20150843</t>
  </si>
  <si>
    <t>20150844</t>
  </si>
  <si>
    <t>20150845</t>
  </si>
  <si>
    <t>20150846</t>
  </si>
  <si>
    <t>20150847</t>
  </si>
  <si>
    <t>20150848</t>
  </si>
  <si>
    <t>20150849</t>
  </si>
  <si>
    <t>20150850</t>
  </si>
  <si>
    <t>20150851</t>
  </si>
  <si>
    <t>20150852</t>
  </si>
  <si>
    <t>20150853</t>
  </si>
  <si>
    <t>20150854</t>
  </si>
  <si>
    <t>20150855</t>
  </si>
  <si>
    <t>20151067</t>
  </si>
  <si>
    <t>20151108</t>
  </si>
  <si>
    <t>20151115</t>
  </si>
  <si>
    <t>20150856</t>
  </si>
  <si>
    <t>20150857</t>
  </si>
  <si>
    <t>20150858</t>
  </si>
  <si>
    <t>20150859</t>
  </si>
  <si>
    <t>20150860</t>
  </si>
  <si>
    <t>20150861</t>
  </si>
  <si>
    <t>20150862</t>
  </si>
  <si>
    <t>20150863</t>
  </si>
  <si>
    <t>20150864</t>
  </si>
  <si>
    <t>20150865</t>
  </si>
  <si>
    <t>20150866</t>
  </si>
  <si>
    <t>20150867</t>
  </si>
  <si>
    <t>20150868</t>
  </si>
  <si>
    <t>20150869</t>
  </si>
  <si>
    <t>20150870</t>
  </si>
  <si>
    <t>20150871</t>
  </si>
  <si>
    <t>20150872</t>
  </si>
  <si>
    <t>20150873</t>
  </si>
  <si>
    <t>20150874</t>
  </si>
  <si>
    <t>20150875</t>
  </si>
  <si>
    <t>20150876</t>
  </si>
  <si>
    <t>20151081</t>
  </si>
  <si>
    <t>20151110</t>
  </si>
  <si>
    <t>20151132</t>
  </si>
  <si>
    <t>20150877</t>
  </si>
  <si>
    <t>20150878</t>
  </si>
  <si>
    <t>20150879</t>
  </si>
  <si>
    <t>20150880</t>
  </si>
  <si>
    <t>20150881</t>
  </si>
  <si>
    <t>20150882</t>
  </si>
  <si>
    <t>20150883</t>
  </si>
  <si>
    <t>20150884</t>
  </si>
  <si>
    <t>20150885</t>
  </si>
  <si>
    <t>20150886</t>
  </si>
  <si>
    <t>20150887</t>
  </si>
  <si>
    <t>20150888</t>
  </si>
  <si>
    <t>20150889</t>
  </si>
  <si>
    <t>20150890</t>
  </si>
  <si>
    <t>20150891</t>
  </si>
  <si>
    <t>20150892</t>
  </si>
  <si>
    <t>20150893</t>
  </si>
  <si>
    <t>20150894</t>
  </si>
  <si>
    <t>20150895</t>
  </si>
  <si>
    <t>20150896</t>
  </si>
  <si>
    <t>20150897</t>
  </si>
  <si>
    <t>20151072</t>
  </si>
  <si>
    <t>20151111</t>
  </si>
  <si>
    <t>20151133</t>
  </si>
  <si>
    <t>20100168</t>
  </si>
  <si>
    <t>20190765</t>
  </si>
  <si>
    <t>20151112</t>
  </si>
  <si>
    <t>20160999</t>
  </si>
  <si>
    <t>20150950</t>
  </si>
  <si>
    <t>20150951</t>
  </si>
  <si>
    <t>20150952</t>
  </si>
  <si>
    <t>20150954</t>
  </si>
  <si>
    <t>20150955</t>
  </si>
  <si>
    <t>20150956</t>
  </si>
  <si>
    <t>20150958</t>
  </si>
  <si>
    <t>20150959</t>
  </si>
  <si>
    <t>20150960</t>
  </si>
  <si>
    <t>20150962</t>
  </si>
  <si>
    <t>20150964</t>
  </si>
  <si>
    <t>20150966</t>
  </si>
  <si>
    <t>20150968</t>
  </si>
  <si>
    <t>20150969</t>
  </si>
  <si>
    <t>20150972</t>
  </si>
  <si>
    <t>20151079</t>
  </si>
  <si>
    <t>20151094</t>
  </si>
  <si>
    <t>20151121</t>
  </si>
  <si>
    <t>20190155</t>
  </si>
  <si>
    <t>20190156</t>
  </si>
  <si>
    <t>20190157</t>
  </si>
  <si>
    <t>20190174</t>
  </si>
  <si>
    <t>20190180</t>
  </si>
  <si>
    <t>20150929</t>
  </si>
  <si>
    <t>20150974</t>
  </si>
  <si>
    <t>20150976</t>
  </si>
  <si>
    <t>20150977</t>
  </si>
  <si>
    <t>20150979</t>
  </si>
  <si>
    <t>20150980</t>
  </si>
  <si>
    <t>20150981</t>
  </si>
  <si>
    <t>20150983</t>
  </si>
  <si>
    <t>20150984</t>
  </si>
  <si>
    <t>20150987</t>
  </si>
  <si>
    <t>20150988</t>
  </si>
  <si>
    <t>20150989</t>
  </si>
  <si>
    <t>20150992</t>
  </si>
  <si>
    <t>20150993</t>
  </si>
  <si>
    <t>20150994</t>
  </si>
  <si>
    <t>20150995</t>
  </si>
  <si>
    <t>20151075</t>
  </si>
  <si>
    <t>20151095</t>
  </si>
  <si>
    <t>20190177</t>
  </si>
  <si>
    <t>20190766</t>
  </si>
  <si>
    <t>20200590</t>
  </si>
  <si>
    <t>20200781</t>
  </si>
  <si>
    <t>20200815</t>
  </si>
  <si>
    <t>20200819</t>
  </si>
  <si>
    <t>20200820</t>
  </si>
  <si>
    <t>20200826</t>
  </si>
  <si>
    <t>20171181</t>
  </si>
  <si>
    <t>20171182</t>
  </si>
  <si>
    <t>20171183</t>
  </si>
  <si>
    <t>20171184</t>
  </si>
  <si>
    <t>20171185</t>
  </si>
  <si>
    <t>20171186</t>
  </si>
  <si>
    <t>20171187</t>
  </si>
  <si>
    <t>20171188</t>
  </si>
  <si>
    <t>20171189</t>
  </si>
  <si>
    <t>20171190</t>
  </si>
  <si>
    <t>20171191</t>
  </si>
  <si>
    <t>20171192</t>
  </si>
  <si>
    <t>20171193</t>
  </si>
  <si>
    <t>20171194</t>
  </si>
  <si>
    <t>20171195</t>
  </si>
  <si>
    <t>20171196</t>
  </si>
  <si>
    <t>20171197</t>
  </si>
  <si>
    <t>20171198</t>
  </si>
  <si>
    <t>高清直播展台</t>
  </si>
  <si>
    <t>20171200</t>
  </si>
  <si>
    <t>智能反馈无线主机</t>
  </si>
  <si>
    <t>20171201</t>
  </si>
  <si>
    <t>20171202</t>
  </si>
  <si>
    <t>20171203</t>
  </si>
  <si>
    <t>20171205</t>
  </si>
  <si>
    <t>20171206</t>
  </si>
  <si>
    <t>20171207</t>
  </si>
  <si>
    <t>20171208</t>
  </si>
  <si>
    <t>20171209</t>
  </si>
  <si>
    <t>20171211</t>
  </si>
  <si>
    <t>20171212</t>
  </si>
  <si>
    <t>20171213</t>
  </si>
  <si>
    <t>20171214</t>
  </si>
  <si>
    <t>20171215</t>
  </si>
  <si>
    <t>20171216</t>
  </si>
  <si>
    <t>20171217</t>
  </si>
  <si>
    <t>20171218</t>
  </si>
  <si>
    <t>20171219</t>
  </si>
  <si>
    <t>20171220</t>
  </si>
  <si>
    <t>高清直播展示台</t>
  </si>
  <si>
    <t>20171221</t>
  </si>
  <si>
    <t>功放音响话筒</t>
  </si>
  <si>
    <t>20171222</t>
  </si>
  <si>
    <t>20171223</t>
  </si>
  <si>
    <t>20171225</t>
  </si>
  <si>
    <t>20171226</t>
  </si>
  <si>
    <t>20171227</t>
  </si>
  <si>
    <t>20171228</t>
  </si>
  <si>
    <t>20171229</t>
  </si>
  <si>
    <t>20171230</t>
  </si>
  <si>
    <t>20171232</t>
  </si>
  <si>
    <t>20171233</t>
  </si>
  <si>
    <t>20171234</t>
  </si>
  <si>
    <t>20171235</t>
  </si>
  <si>
    <t>20171236</t>
  </si>
  <si>
    <t>20171237</t>
  </si>
  <si>
    <t>20171239</t>
  </si>
  <si>
    <t>20171240</t>
  </si>
  <si>
    <t>20171241</t>
  </si>
  <si>
    <t>20171242</t>
  </si>
  <si>
    <t>20150583</t>
  </si>
  <si>
    <t>20150584</t>
  </si>
  <si>
    <t>20150585</t>
  </si>
  <si>
    <t>20150586</t>
  </si>
  <si>
    <t>20150587</t>
  </si>
  <si>
    <t>20150588</t>
  </si>
  <si>
    <t>20150590</t>
  </si>
  <si>
    <t>20150591</t>
  </si>
  <si>
    <t>20150592</t>
  </si>
  <si>
    <t>20150593</t>
  </si>
  <si>
    <t>20150594</t>
  </si>
  <si>
    <t>20150595</t>
  </si>
  <si>
    <t>20150598</t>
  </si>
  <si>
    <t>20150599</t>
  </si>
  <si>
    <t>20150600</t>
  </si>
  <si>
    <t>20150601</t>
  </si>
  <si>
    <t>20150602</t>
  </si>
  <si>
    <t>20150603</t>
  </si>
  <si>
    <t>20150606</t>
  </si>
  <si>
    <t>20150608</t>
  </si>
  <si>
    <t>20150611</t>
  </si>
  <si>
    <t>20150615</t>
  </si>
  <si>
    <t>20150618</t>
  </si>
  <si>
    <t>20150620</t>
  </si>
  <si>
    <t>20150622</t>
  </si>
  <si>
    <t>20151091</t>
  </si>
  <si>
    <t>20190767</t>
  </si>
  <si>
    <t>20200782</t>
  </si>
  <si>
    <t>20200816</t>
  </si>
  <si>
    <t>20200821</t>
  </si>
  <si>
    <t>20200822</t>
  </si>
  <si>
    <t>20200824</t>
  </si>
  <si>
    <t>20160726</t>
  </si>
  <si>
    <t>20160740</t>
  </si>
  <si>
    <t>20190563</t>
  </si>
  <si>
    <t>功放</t>
  </si>
  <si>
    <t>20190564</t>
  </si>
  <si>
    <t>音箱</t>
  </si>
  <si>
    <t>20190565</t>
  </si>
  <si>
    <t>20200576</t>
  </si>
  <si>
    <t>电子黑板（智慧教室互动黑板）</t>
  </si>
  <si>
    <t>20201314</t>
  </si>
  <si>
    <t>20200577</t>
  </si>
  <si>
    <t>20201315</t>
  </si>
  <si>
    <t>20140655</t>
  </si>
  <si>
    <t>20140656</t>
  </si>
  <si>
    <t>20140657</t>
  </si>
  <si>
    <t>20140658</t>
  </si>
  <si>
    <t>20151129</t>
  </si>
  <si>
    <t>20190117</t>
  </si>
  <si>
    <t>20190118</t>
  </si>
  <si>
    <t>20190119</t>
  </si>
  <si>
    <t>20190120</t>
  </si>
  <si>
    <t>20190172</t>
  </si>
  <si>
    <t>20190178</t>
  </si>
  <si>
    <t>20151552</t>
  </si>
  <si>
    <t>20151566</t>
  </si>
  <si>
    <t>20151567</t>
  </si>
  <si>
    <t>20151574</t>
  </si>
  <si>
    <t>20200010</t>
  </si>
  <si>
    <t>20150510</t>
  </si>
  <si>
    <t>20150512</t>
  </si>
  <si>
    <t>20150513</t>
  </si>
  <si>
    <t>20150515</t>
  </si>
  <si>
    <t>20150516</t>
  </si>
  <si>
    <t>20150517</t>
  </si>
  <si>
    <t>20150518</t>
  </si>
  <si>
    <t>20150519</t>
  </si>
  <si>
    <t>20150520</t>
  </si>
  <si>
    <t>20150523</t>
  </si>
  <si>
    <t>20150524</t>
  </si>
  <si>
    <t>20150525</t>
  </si>
  <si>
    <t>20150526</t>
  </si>
  <si>
    <t>20150527</t>
  </si>
  <si>
    <t>20150528</t>
  </si>
  <si>
    <t>20150530</t>
  </si>
  <si>
    <t>20150531</t>
  </si>
  <si>
    <t>20150532</t>
  </si>
  <si>
    <t>20150534</t>
  </si>
  <si>
    <t>20150535</t>
  </si>
  <si>
    <t>20150536</t>
  </si>
  <si>
    <t>20150537</t>
  </si>
  <si>
    <t>20150538</t>
  </si>
  <si>
    <t>20150539</t>
  </si>
  <si>
    <t>20150541</t>
  </si>
  <si>
    <t>20150542</t>
  </si>
  <si>
    <t>20150543</t>
  </si>
  <si>
    <t>20150546</t>
  </si>
  <si>
    <t>20150547</t>
  </si>
  <si>
    <t>20150548</t>
  </si>
  <si>
    <t>20150549</t>
  </si>
  <si>
    <t>20150550</t>
  </si>
  <si>
    <t>20150551</t>
  </si>
  <si>
    <t>20150552</t>
  </si>
  <si>
    <t>20150553</t>
  </si>
  <si>
    <t>20150554</t>
  </si>
  <si>
    <t>20150555</t>
  </si>
  <si>
    <t>20150556</t>
  </si>
  <si>
    <t>20150557</t>
  </si>
  <si>
    <t>20150558</t>
  </si>
  <si>
    <t>20150559</t>
  </si>
  <si>
    <t>20150560</t>
  </si>
  <si>
    <t>20150561</t>
  </si>
  <si>
    <t>20150562</t>
  </si>
  <si>
    <t>20150563</t>
  </si>
  <si>
    <t>20150564</t>
  </si>
  <si>
    <t>20150566</t>
  </si>
  <si>
    <t>20150567</t>
  </si>
  <si>
    <t>20150569</t>
  </si>
  <si>
    <t>20150570</t>
  </si>
  <si>
    <t>20150571</t>
  </si>
  <si>
    <t>20150572</t>
  </si>
  <si>
    <t>20150574</t>
  </si>
  <si>
    <t>20150575</t>
  </si>
  <si>
    <t>20150576</t>
  </si>
  <si>
    <t>20150577</t>
  </si>
  <si>
    <t>20150578</t>
  </si>
  <si>
    <t>20150579</t>
  </si>
  <si>
    <t>20150580</t>
  </si>
  <si>
    <t>20150581</t>
  </si>
  <si>
    <t>20150582</t>
  </si>
  <si>
    <t>20151059</t>
  </si>
  <si>
    <t>20151060</t>
  </si>
  <si>
    <t>20151061</t>
  </si>
  <si>
    <t>20170309</t>
  </si>
  <si>
    <t>20170310</t>
  </si>
  <si>
    <t>20170311</t>
  </si>
  <si>
    <t>20170312</t>
  </si>
  <si>
    <t>20171210</t>
  </si>
  <si>
    <t>20190107</t>
  </si>
  <si>
    <t>20190108</t>
  </si>
  <si>
    <t>20190109</t>
  </si>
  <si>
    <t>20190110</t>
  </si>
  <si>
    <t>20190111</t>
  </si>
  <si>
    <t>20190112</t>
  </si>
  <si>
    <t>20190113</t>
  </si>
  <si>
    <t>20190114</t>
  </si>
  <si>
    <t>20190158</t>
  </si>
  <si>
    <t>20190159</t>
  </si>
  <si>
    <t>20190160</t>
  </si>
  <si>
    <t>20200011</t>
  </si>
  <si>
    <t>20220105</t>
  </si>
  <si>
    <t>酷家乐教育版</t>
  </si>
  <si>
    <t>20100158</t>
  </si>
  <si>
    <t>20190137</t>
  </si>
  <si>
    <t>整身童模</t>
  </si>
  <si>
    <t>120有10个，130有5个</t>
  </si>
  <si>
    <t>20190138</t>
  </si>
  <si>
    <t>20190139</t>
  </si>
  <si>
    <t>20190140</t>
  </si>
  <si>
    <t>20190141</t>
  </si>
  <si>
    <t>20190142</t>
  </si>
  <si>
    <t>20190143</t>
  </si>
  <si>
    <t>20090590</t>
  </si>
  <si>
    <t>20100164</t>
  </si>
  <si>
    <t>20070201</t>
  </si>
  <si>
    <t>20090164</t>
  </si>
  <si>
    <t>20100833</t>
  </si>
  <si>
    <t>20131408</t>
  </si>
  <si>
    <t>20050710</t>
  </si>
  <si>
    <t>20050714</t>
  </si>
  <si>
    <t>20051959</t>
  </si>
  <si>
    <t>20100171</t>
  </si>
  <si>
    <t>20100163</t>
  </si>
  <si>
    <t>20110298</t>
  </si>
  <si>
    <t>20100170</t>
  </si>
  <si>
    <t>20190144</t>
  </si>
  <si>
    <t>20151124</t>
  </si>
  <si>
    <t>20171243</t>
  </si>
  <si>
    <t>20052026</t>
  </si>
  <si>
    <t>20052112</t>
  </si>
  <si>
    <t>20151123</t>
  </si>
  <si>
    <t>20020787</t>
  </si>
  <si>
    <t>20030449</t>
  </si>
  <si>
    <t>20030453</t>
  </si>
  <si>
    <t>20050501</t>
  </si>
  <si>
    <t>20050502</t>
  </si>
  <si>
    <t>20100777</t>
  </si>
  <si>
    <t>20121407</t>
  </si>
  <si>
    <t>20190154</t>
  </si>
  <si>
    <t>教学用缩小人台</t>
  </si>
  <si>
    <t>20190176</t>
  </si>
  <si>
    <t>20050939</t>
  </si>
  <si>
    <t>20052171</t>
  </si>
  <si>
    <t>20090305</t>
  </si>
  <si>
    <t>数码相机</t>
  </si>
  <si>
    <t>20090306</t>
  </si>
  <si>
    <t>20090330</t>
  </si>
  <si>
    <t>20100050</t>
  </si>
  <si>
    <t>20100141</t>
  </si>
  <si>
    <t>20100154</t>
  </si>
  <si>
    <t>20100155</t>
  </si>
  <si>
    <t>20100161</t>
  </si>
  <si>
    <t>20100166</t>
  </si>
  <si>
    <t>20100172</t>
  </si>
  <si>
    <t>20100753</t>
  </si>
  <si>
    <t>20120983</t>
  </si>
  <si>
    <t>20120986</t>
  </si>
  <si>
    <t>20120988</t>
  </si>
  <si>
    <t>20120990</t>
  </si>
  <si>
    <t>彩色激光打印机</t>
  </si>
  <si>
    <t>20121015</t>
  </si>
  <si>
    <t>20121017</t>
  </si>
  <si>
    <t>20121019</t>
  </si>
  <si>
    <t>影视话筒杆</t>
  </si>
  <si>
    <t>20121020</t>
  </si>
  <si>
    <t>20121021</t>
  </si>
  <si>
    <t>20121022</t>
  </si>
  <si>
    <t>20121023</t>
  </si>
  <si>
    <t>柔光箱摄影灯套装</t>
  </si>
  <si>
    <t>20121024</t>
  </si>
  <si>
    <t>20121025</t>
  </si>
  <si>
    <t>20121026</t>
  </si>
  <si>
    <t>20121031</t>
  </si>
  <si>
    <t>LED 补光灯等</t>
  </si>
  <si>
    <t>20121032</t>
  </si>
  <si>
    <t>跟焦器套装</t>
  </si>
  <si>
    <t>20121033</t>
  </si>
  <si>
    <t>20121038</t>
  </si>
  <si>
    <t>线拍仪</t>
  </si>
  <si>
    <t>20121039</t>
  </si>
  <si>
    <t>20121041</t>
  </si>
  <si>
    <t>装订机</t>
  </si>
  <si>
    <t>20121042</t>
  </si>
  <si>
    <t>骑马装订机</t>
  </si>
  <si>
    <t>20121043</t>
  </si>
  <si>
    <t>胶装机</t>
  </si>
  <si>
    <t>20121044</t>
  </si>
  <si>
    <t>裁纸机</t>
  </si>
  <si>
    <t>20121045</t>
  </si>
  <si>
    <t>压痕机</t>
  </si>
  <si>
    <t>20121272</t>
  </si>
  <si>
    <t>20121274</t>
  </si>
  <si>
    <t>20121275</t>
  </si>
  <si>
    <t>20121277</t>
  </si>
  <si>
    <t>20121281</t>
  </si>
  <si>
    <t>20121296</t>
  </si>
  <si>
    <t>20121304</t>
  </si>
  <si>
    <t>20121307</t>
  </si>
  <si>
    <t>20121321</t>
  </si>
  <si>
    <t>20121325</t>
  </si>
  <si>
    <t>20150589</t>
  </si>
  <si>
    <t>20150596</t>
  </si>
  <si>
    <t>20150604</t>
  </si>
  <si>
    <t>20150609</t>
  </si>
  <si>
    <t>20150610</t>
  </si>
  <si>
    <t>20150612</t>
  </si>
  <si>
    <t>20150613</t>
  </si>
  <si>
    <t>20150614</t>
  </si>
  <si>
    <t>20150616</t>
  </si>
  <si>
    <t>20150617</t>
  </si>
  <si>
    <t>20150619</t>
  </si>
  <si>
    <t>20150621</t>
  </si>
  <si>
    <t>20150623</t>
  </si>
  <si>
    <t>20150624</t>
  </si>
  <si>
    <t>20150898</t>
  </si>
  <si>
    <t>20150901</t>
  </si>
  <si>
    <t>20150909</t>
  </si>
  <si>
    <t>20150948</t>
  </si>
  <si>
    <t>20150957</t>
  </si>
  <si>
    <t>20150967</t>
  </si>
  <si>
    <t>20150971</t>
  </si>
  <si>
    <t>20150997</t>
  </si>
  <si>
    <t>20151069</t>
  </si>
  <si>
    <t>20151077</t>
  </si>
  <si>
    <t>20151078</t>
  </si>
  <si>
    <t>20151080</t>
  </si>
  <si>
    <t>20151082</t>
  </si>
  <si>
    <t>20151089</t>
  </si>
  <si>
    <t>20151092</t>
  </si>
  <si>
    <t>20151109</t>
  </si>
  <si>
    <t>20151120</t>
  </si>
  <si>
    <t>20151126</t>
  </si>
  <si>
    <t>20151128</t>
  </si>
  <si>
    <t>20090253</t>
  </si>
  <si>
    <t>缝纫机</t>
  </si>
  <si>
    <t>20100228</t>
  </si>
  <si>
    <t>富怡CAD软件</t>
  </si>
  <si>
    <t>20100231</t>
  </si>
  <si>
    <t>包缝机</t>
  </si>
  <si>
    <t>20100235</t>
  </si>
  <si>
    <t>服装实训器材</t>
  </si>
  <si>
    <t>20100237</t>
  </si>
  <si>
    <t>锁眼机</t>
  </si>
  <si>
    <t>20100238</t>
  </si>
  <si>
    <t>挂烫机</t>
  </si>
  <si>
    <t>20100239</t>
  </si>
  <si>
    <t>20100240</t>
  </si>
  <si>
    <t>20100241</t>
  </si>
  <si>
    <t>绷缝机</t>
  </si>
  <si>
    <t>20100243</t>
  </si>
  <si>
    <t>电剪刀</t>
  </si>
  <si>
    <t>20120970</t>
  </si>
  <si>
    <t>平缝机</t>
  </si>
  <si>
    <t>20120972</t>
  </si>
  <si>
    <t>密拷</t>
  </si>
  <si>
    <t>20130240</t>
  </si>
  <si>
    <t>20130241</t>
  </si>
  <si>
    <t>20130242</t>
  </si>
  <si>
    <t>烫台</t>
  </si>
  <si>
    <t>20130243</t>
  </si>
  <si>
    <t>20150125</t>
  </si>
  <si>
    <t>20150126</t>
  </si>
  <si>
    <t>20151136</t>
  </si>
  <si>
    <t>20151137</t>
  </si>
  <si>
    <t>20160093</t>
  </si>
  <si>
    <t>20170472</t>
  </si>
  <si>
    <t>20190136</t>
  </si>
  <si>
    <t>20190145</t>
  </si>
  <si>
    <t>20190146</t>
  </si>
  <si>
    <t>20190147</t>
  </si>
  <si>
    <t>20190148</t>
  </si>
  <si>
    <t>20190149</t>
  </si>
  <si>
    <t>20190150</t>
  </si>
  <si>
    <t>20190151</t>
  </si>
  <si>
    <t>20190152</t>
  </si>
  <si>
    <t>120童模</t>
  </si>
  <si>
    <t>单价400，共20个</t>
  </si>
  <si>
    <t>20190153</t>
  </si>
  <si>
    <t>130童模</t>
  </si>
  <si>
    <t>单价400，共10个</t>
  </si>
  <si>
    <t>20190161</t>
  </si>
  <si>
    <t>展示模特</t>
  </si>
  <si>
    <t>20190162</t>
  </si>
  <si>
    <t>20190163</t>
  </si>
  <si>
    <t>20190164</t>
  </si>
  <si>
    <t>20190165</t>
  </si>
  <si>
    <t>20190166</t>
  </si>
  <si>
    <t>20190167</t>
  </si>
  <si>
    <t>20190168</t>
  </si>
  <si>
    <t>20190169</t>
  </si>
  <si>
    <t>20190170</t>
  </si>
  <si>
    <t>20150627</t>
  </si>
  <si>
    <t>20150630</t>
  </si>
  <si>
    <t>20150639</t>
  </si>
  <si>
    <t>20151561</t>
  </si>
  <si>
    <t>20150479</t>
  </si>
  <si>
    <t>20150484</t>
  </si>
  <si>
    <t>20150504</t>
  </si>
  <si>
    <t>20150506</t>
  </si>
  <si>
    <t>20150713</t>
  </si>
  <si>
    <t>20150729</t>
  </si>
  <si>
    <t>20150808</t>
  </si>
  <si>
    <t>20150830</t>
  </si>
  <si>
    <t>20150928</t>
  </si>
  <si>
    <t>20171199</t>
  </si>
  <si>
    <t>20171224</t>
  </si>
  <si>
    <t>20171231</t>
  </si>
  <si>
    <t>20171238</t>
  </si>
  <si>
    <t>20151550</t>
  </si>
  <si>
    <t>20151576</t>
  </si>
  <si>
    <t>20150521</t>
  </si>
  <si>
    <t>20150533</t>
  </si>
  <si>
    <t>20150540</t>
  </si>
  <si>
    <t>20150545</t>
  </si>
  <si>
    <t>20121280</t>
  </si>
  <si>
    <t>20121289</t>
  </si>
  <si>
    <t>HCP-A102</t>
  </si>
  <si>
    <t>投影+幕布+中控</t>
  </si>
  <si>
    <t>空调</t>
  </si>
  <si>
    <t>有源音响</t>
  </si>
  <si>
    <t>20210001</t>
  </si>
  <si>
    <r>
      <rPr>
        <sz val="11"/>
        <rFont val="宋体"/>
        <charset val="134"/>
      </rPr>
      <t>尺寸</t>
    </r>
    <r>
      <rPr>
        <sz val="11"/>
        <rFont val="Segoe UI"/>
        <charset val="134"/>
      </rPr>
      <t xml:space="preserve"> 3.9*2.3=8.97</t>
    </r>
    <r>
      <rPr>
        <sz val="11"/>
        <rFont val="宋体"/>
        <charset val="134"/>
      </rPr>
      <t>；技加智能科技</t>
    </r>
  </si>
  <si>
    <t>经济管理与电商学院</t>
  </si>
  <si>
    <t>机柜（含服务器）</t>
  </si>
  <si>
    <t>20151826</t>
  </si>
  <si>
    <t>情景教学素材编辑系统</t>
  </si>
  <si>
    <t>20151891</t>
  </si>
  <si>
    <t>多媒体控制台</t>
  </si>
  <si>
    <t>20151895</t>
  </si>
  <si>
    <t>数字反馈抑制器</t>
  </si>
  <si>
    <t>20151896</t>
  </si>
  <si>
    <t>20151897</t>
  </si>
  <si>
    <t>20151898</t>
  </si>
  <si>
    <t>专业会议话筒</t>
  </si>
  <si>
    <t>20151899</t>
  </si>
  <si>
    <t>专业功率放大器</t>
  </si>
  <si>
    <t>20151900</t>
  </si>
  <si>
    <t>前后置全频扬声器</t>
  </si>
  <si>
    <t>20151901</t>
  </si>
  <si>
    <t>20151902</t>
  </si>
  <si>
    <t>20151903</t>
  </si>
  <si>
    <t>虚拟仿真实训系统</t>
  </si>
  <si>
    <t>20151905</t>
  </si>
  <si>
    <t>三角架</t>
  </si>
  <si>
    <t>20151906</t>
  </si>
  <si>
    <t>液晶显示器</t>
  </si>
  <si>
    <t>20151907</t>
  </si>
  <si>
    <t>20151908</t>
  </si>
  <si>
    <t>20151909</t>
  </si>
  <si>
    <t>放大器</t>
  </si>
  <si>
    <t>20151911</t>
  </si>
  <si>
    <t>20151912</t>
  </si>
  <si>
    <t>监听音箱</t>
  </si>
  <si>
    <t>20151913</t>
  </si>
  <si>
    <t>蓝箱定制</t>
  </si>
  <si>
    <t>20210310</t>
  </si>
  <si>
    <t>20211360</t>
  </si>
  <si>
    <t>20220103</t>
  </si>
  <si>
    <t>摄像头</t>
  </si>
  <si>
    <t>20230048</t>
  </si>
  <si>
    <t>20110433</t>
  </si>
  <si>
    <t>沙盘模拟系统</t>
  </si>
  <si>
    <t>20141017</t>
  </si>
  <si>
    <t>20151725</t>
  </si>
  <si>
    <t>20151916</t>
  </si>
  <si>
    <t>20151919</t>
  </si>
  <si>
    <t>20151922</t>
  </si>
  <si>
    <t>20210326</t>
  </si>
  <si>
    <t>台式机96（2017.6）</t>
  </si>
  <si>
    <t>20210327</t>
  </si>
  <si>
    <t>台式机97（2017.6）</t>
  </si>
  <si>
    <t>20171351</t>
  </si>
  <si>
    <t>20210020</t>
  </si>
  <si>
    <t>20210021</t>
  </si>
  <si>
    <t>20210022</t>
  </si>
  <si>
    <t>20210023</t>
  </si>
  <si>
    <t>20140141</t>
  </si>
  <si>
    <t>20140142</t>
  </si>
  <si>
    <t>20140143</t>
  </si>
  <si>
    <t>20140144</t>
  </si>
  <si>
    <t>20140145</t>
  </si>
  <si>
    <t>20140146</t>
  </si>
  <si>
    <t>20140147</t>
  </si>
  <si>
    <t>20140148</t>
  </si>
  <si>
    <t>20140149</t>
  </si>
  <si>
    <t>20140150</t>
  </si>
  <si>
    <t>20140151</t>
  </si>
  <si>
    <t>20140152</t>
  </si>
  <si>
    <t>20140153</t>
  </si>
  <si>
    <t>20140154</t>
  </si>
  <si>
    <t>20140155</t>
  </si>
  <si>
    <t>20140156</t>
  </si>
  <si>
    <t>20140157</t>
  </si>
  <si>
    <t>20140158</t>
  </si>
  <si>
    <t>20140159</t>
  </si>
  <si>
    <t>20140160</t>
  </si>
  <si>
    <t>20140161</t>
  </si>
  <si>
    <t>20140162</t>
  </si>
  <si>
    <t>20140163</t>
  </si>
  <si>
    <t>20140164</t>
  </si>
  <si>
    <t>20140165</t>
  </si>
  <si>
    <t>20140166</t>
  </si>
  <si>
    <t>20140167</t>
  </si>
  <si>
    <t>20140168</t>
  </si>
  <si>
    <t>20140169</t>
  </si>
  <si>
    <t>20140170</t>
  </si>
  <si>
    <t>20140171</t>
  </si>
  <si>
    <t>20140172</t>
  </si>
  <si>
    <t>20140173</t>
  </si>
  <si>
    <t>20140174</t>
  </si>
  <si>
    <t>20140177</t>
  </si>
  <si>
    <t>20140178</t>
  </si>
  <si>
    <t>20140358</t>
  </si>
  <si>
    <t>20140359</t>
  </si>
  <si>
    <t>20140360</t>
  </si>
  <si>
    <t>20140362</t>
  </si>
  <si>
    <t>20140363</t>
  </si>
  <si>
    <t>20140364</t>
  </si>
  <si>
    <t>20140365</t>
  </si>
  <si>
    <t>20140366</t>
  </si>
  <si>
    <t>20140367</t>
  </si>
  <si>
    <t>20140368</t>
  </si>
  <si>
    <t>无线话筒（其中一个）</t>
  </si>
  <si>
    <t>20130155</t>
  </si>
  <si>
    <t>20151524</t>
  </si>
  <si>
    <t>壁挂式触摸展示系统</t>
  </si>
  <si>
    <t>20151525</t>
  </si>
  <si>
    <t>20151526</t>
  </si>
  <si>
    <t>20151527</t>
  </si>
  <si>
    <t>20160215</t>
  </si>
  <si>
    <t>20150003</t>
  </si>
  <si>
    <t>20150004</t>
  </si>
  <si>
    <t>20150005</t>
  </si>
  <si>
    <t>20150006</t>
  </si>
  <si>
    <t>20150007</t>
  </si>
  <si>
    <t>20150008</t>
  </si>
  <si>
    <t>20150009</t>
  </si>
  <si>
    <t>20210781</t>
  </si>
  <si>
    <t>中央空调一拖五</t>
  </si>
  <si>
    <t>20220050</t>
  </si>
  <si>
    <t>15230全套家具</t>
  </si>
  <si>
    <t>20220102</t>
  </si>
  <si>
    <t>20220172</t>
  </si>
  <si>
    <t>手机</t>
  </si>
  <si>
    <t>20220212</t>
  </si>
  <si>
    <t>20220213</t>
  </si>
  <si>
    <t>灯光设备(金贝五灯)</t>
  </si>
  <si>
    <t>20220214</t>
  </si>
  <si>
    <t>灯光设备(金贝双灯)</t>
  </si>
  <si>
    <t>20220215</t>
  </si>
  <si>
    <t>20220216</t>
  </si>
  <si>
    <t>灯光设备(金贝三灯)</t>
  </si>
  <si>
    <t>20220217</t>
  </si>
  <si>
    <t>路由器（ER6300）</t>
  </si>
  <si>
    <t>20220218</t>
  </si>
  <si>
    <t>华为千兆交换机</t>
  </si>
  <si>
    <t>20220219</t>
  </si>
  <si>
    <t>20220220</t>
  </si>
  <si>
    <t>20220221</t>
  </si>
  <si>
    <t>20220222</t>
  </si>
  <si>
    <t>20220223</t>
  </si>
  <si>
    <t>20220224</t>
  </si>
  <si>
    <t>20220225</t>
  </si>
  <si>
    <t>手持稳定器</t>
  </si>
  <si>
    <t>20220226</t>
  </si>
  <si>
    <t>20220227</t>
  </si>
  <si>
    <t>20220228</t>
  </si>
  <si>
    <t>20220229</t>
  </si>
  <si>
    <t>20220230</t>
  </si>
  <si>
    <t>20220231</t>
  </si>
  <si>
    <t>声卡话筒专用全套</t>
  </si>
  <si>
    <t>20220232</t>
  </si>
  <si>
    <t>20220233</t>
  </si>
  <si>
    <t>20220234</t>
  </si>
  <si>
    <t>20220235</t>
  </si>
  <si>
    <t>20220236</t>
  </si>
  <si>
    <t>20220211</t>
  </si>
  <si>
    <t>贝德教育K系列设备</t>
  </si>
  <si>
    <t>网络交换机柜</t>
  </si>
  <si>
    <t>投影仪1个</t>
  </si>
  <si>
    <t>20150277</t>
  </si>
  <si>
    <t>手持话筒1个</t>
  </si>
  <si>
    <t>20151513</t>
  </si>
  <si>
    <t>光电交换机（网络交换</t>
  </si>
  <si>
    <t>幕布1个</t>
  </si>
  <si>
    <t>20121364</t>
  </si>
  <si>
    <t>摄影棚器材</t>
  </si>
  <si>
    <t>20210702</t>
  </si>
  <si>
    <t>讲台15234</t>
  </si>
  <si>
    <t>20210706</t>
  </si>
  <si>
    <t>20211019</t>
  </si>
  <si>
    <t>20211258</t>
  </si>
  <si>
    <t>20211259</t>
  </si>
  <si>
    <t>20211260</t>
  </si>
  <si>
    <t>20211261</t>
  </si>
  <si>
    <t>20211262</t>
  </si>
  <si>
    <t>20211263</t>
  </si>
  <si>
    <t>20211264</t>
  </si>
  <si>
    <t>20211265</t>
  </si>
  <si>
    <t>20211266</t>
  </si>
  <si>
    <t>20211267</t>
  </si>
  <si>
    <t>20211268</t>
  </si>
  <si>
    <t>20211269</t>
  </si>
  <si>
    <t>20211270</t>
  </si>
  <si>
    <t>20211271</t>
  </si>
  <si>
    <t>20211272</t>
  </si>
  <si>
    <t>20211273</t>
  </si>
  <si>
    <t>20211274</t>
  </si>
  <si>
    <t>20211275</t>
  </si>
  <si>
    <t>20211276</t>
  </si>
  <si>
    <t>20211277</t>
  </si>
  <si>
    <t>20211278</t>
  </si>
  <si>
    <t>20211279</t>
  </si>
  <si>
    <t>20211280</t>
  </si>
  <si>
    <t>20211281</t>
  </si>
  <si>
    <t>20211282</t>
  </si>
  <si>
    <t>20211283</t>
  </si>
  <si>
    <t>20211284</t>
  </si>
  <si>
    <t>20211285</t>
  </si>
  <si>
    <t>20211286</t>
  </si>
  <si>
    <t>20211287</t>
  </si>
  <si>
    <t>20211288</t>
  </si>
  <si>
    <t>20211289</t>
  </si>
  <si>
    <t>20211290</t>
  </si>
  <si>
    <t>20211291</t>
  </si>
  <si>
    <t>20211292</t>
  </si>
  <si>
    <t>20211293</t>
  </si>
  <si>
    <t>20211294</t>
  </si>
  <si>
    <t>20211295</t>
  </si>
  <si>
    <t>20211296</t>
  </si>
  <si>
    <t>20211297</t>
  </si>
  <si>
    <t>20211298</t>
  </si>
  <si>
    <t>20211299</t>
  </si>
  <si>
    <t>20211300</t>
  </si>
  <si>
    <t>20211301</t>
  </si>
  <si>
    <t>20211302</t>
  </si>
  <si>
    <t>20211303</t>
  </si>
  <si>
    <t>20211304</t>
  </si>
  <si>
    <t>20211305</t>
  </si>
  <si>
    <t>20211306</t>
  </si>
  <si>
    <t>20211307</t>
  </si>
  <si>
    <t>20211308</t>
  </si>
  <si>
    <t>20211309</t>
  </si>
  <si>
    <t>20211310</t>
  </si>
  <si>
    <t>20211311</t>
  </si>
  <si>
    <t>20211312</t>
  </si>
  <si>
    <t>20220052</t>
  </si>
  <si>
    <t>微单套机</t>
  </si>
  <si>
    <t>20220053</t>
  </si>
  <si>
    <t>摄影灯</t>
  </si>
  <si>
    <t>20220054</t>
  </si>
  <si>
    <t>20220055</t>
  </si>
  <si>
    <t>20220056</t>
  </si>
  <si>
    <t>20220057</t>
  </si>
  <si>
    <t>折叠拍摄台</t>
  </si>
  <si>
    <t>20220058</t>
  </si>
  <si>
    <t>20220059</t>
  </si>
  <si>
    <t>20220060</t>
  </si>
  <si>
    <t>20220061</t>
  </si>
  <si>
    <t>20220062</t>
  </si>
  <si>
    <t>20220063</t>
  </si>
  <si>
    <t>20220064</t>
  </si>
  <si>
    <t>20220100</t>
  </si>
  <si>
    <t>20220101</t>
  </si>
  <si>
    <t>20150329</t>
  </si>
  <si>
    <t>物流运输中的设备演示软件</t>
  </si>
  <si>
    <t>20150328</t>
  </si>
  <si>
    <t>立体仓库情景演示软件</t>
  </si>
  <si>
    <t>20150327</t>
  </si>
  <si>
    <t>进出口检验检疫情景演示软件</t>
  </si>
  <si>
    <t>20150326</t>
  </si>
  <si>
    <t>货代业务情景演示软件</t>
  </si>
  <si>
    <t>20150325</t>
  </si>
  <si>
    <t>航空运输通关情景演示软件</t>
  </si>
  <si>
    <t>20150295</t>
  </si>
  <si>
    <t>20150324</t>
  </si>
  <si>
    <t>海洋运输通关情景演示软件</t>
  </si>
  <si>
    <t>20150323</t>
  </si>
  <si>
    <t>进出口交易会情景演示软件</t>
  </si>
  <si>
    <t>20150321</t>
  </si>
  <si>
    <t>港口与集装箱情景演示软件</t>
  </si>
  <si>
    <t>20150320</t>
  </si>
  <si>
    <t>报关情景演示软件</t>
  </si>
  <si>
    <t>20150319</t>
  </si>
  <si>
    <t>保税区情景演示软件</t>
  </si>
  <si>
    <t>20151694</t>
  </si>
  <si>
    <t>电子显微镜</t>
  </si>
  <si>
    <t>20151695</t>
  </si>
  <si>
    <t>20151696</t>
  </si>
  <si>
    <t>20151697</t>
  </si>
  <si>
    <t>20151698</t>
  </si>
  <si>
    <t>20151699</t>
  </si>
  <si>
    <t>20151700</t>
  </si>
  <si>
    <t>20151701</t>
  </si>
  <si>
    <t>20151702</t>
  </si>
  <si>
    <t>20151703</t>
  </si>
  <si>
    <t>20151704</t>
  </si>
  <si>
    <t>20151705</t>
  </si>
  <si>
    <t>20151706</t>
  </si>
  <si>
    <t>20151707</t>
  </si>
  <si>
    <t>20151708</t>
  </si>
  <si>
    <t>20151709</t>
  </si>
  <si>
    <t>20151710</t>
  </si>
  <si>
    <t>20151711</t>
  </si>
  <si>
    <t>20151712</t>
  </si>
  <si>
    <t>20151714</t>
  </si>
  <si>
    <t>两用电子目镜</t>
  </si>
  <si>
    <t>20151715</t>
  </si>
  <si>
    <t>20160144</t>
  </si>
  <si>
    <t>20180444</t>
  </si>
  <si>
    <t>20141020</t>
  </si>
  <si>
    <t>20150031</t>
  </si>
  <si>
    <t>20150270</t>
  </si>
  <si>
    <t>20151678</t>
  </si>
  <si>
    <t>耐摩擦色牢度仪</t>
  </si>
  <si>
    <t>20151679</t>
  </si>
  <si>
    <t>起毛起球实验仪</t>
  </si>
  <si>
    <t>20151680</t>
  </si>
  <si>
    <t>电子织物强力机</t>
  </si>
  <si>
    <t>20151681</t>
  </si>
  <si>
    <t>烘箱</t>
  </si>
  <si>
    <t>20151682</t>
  </si>
  <si>
    <t>全自动缩水率试验机</t>
  </si>
  <si>
    <t>20151683</t>
  </si>
  <si>
    <t>耐洗色牢度实验机</t>
  </si>
  <si>
    <t>20151684</t>
  </si>
  <si>
    <t>水浴恒温震荡器</t>
  </si>
  <si>
    <t>20151685</t>
  </si>
  <si>
    <t>汗渍色牢度仪</t>
  </si>
  <si>
    <t>20151686</t>
  </si>
  <si>
    <t>通风柜</t>
  </si>
  <si>
    <t>20151687</t>
  </si>
  <si>
    <t>标准光源箱</t>
  </si>
  <si>
    <t>20151688</t>
  </si>
  <si>
    <t>20151689</t>
  </si>
  <si>
    <t>20151690</t>
  </si>
  <si>
    <t>20151691</t>
  </si>
  <si>
    <t>20151692</t>
  </si>
  <si>
    <t>20151693</t>
  </si>
  <si>
    <t>20151716</t>
  </si>
  <si>
    <t>圆盘取样器</t>
  </si>
  <si>
    <t>20151717</t>
  </si>
  <si>
    <t>20151718</t>
  </si>
  <si>
    <t>20151719</t>
  </si>
  <si>
    <t>20151720</t>
  </si>
  <si>
    <t>20151721</t>
  </si>
  <si>
    <t>20151723</t>
  </si>
  <si>
    <t>织物经纬线密度分析仪</t>
  </si>
  <si>
    <t>20151915</t>
  </si>
  <si>
    <t>20151918</t>
  </si>
  <si>
    <t>20151921</t>
  </si>
  <si>
    <t>20151713</t>
  </si>
  <si>
    <t>20151530</t>
  </si>
  <si>
    <t>创新实训综合模块</t>
  </si>
  <si>
    <t>20151531</t>
  </si>
  <si>
    <t>接入交换器</t>
  </si>
  <si>
    <t>20150127</t>
  </si>
  <si>
    <t>20150272</t>
  </si>
  <si>
    <t>20151528</t>
  </si>
  <si>
    <t>20151529</t>
  </si>
  <si>
    <t>20151533</t>
  </si>
  <si>
    <t>壁挂式互动展示系统软件</t>
  </si>
  <si>
    <t>20151534</t>
  </si>
  <si>
    <t>20180338</t>
  </si>
  <si>
    <t>20180339</t>
  </si>
  <si>
    <t>20180363</t>
  </si>
  <si>
    <t>开水炉</t>
  </si>
  <si>
    <t>20180364</t>
  </si>
  <si>
    <t>净水设备</t>
  </si>
  <si>
    <t>20180366</t>
  </si>
  <si>
    <t>20180367</t>
  </si>
  <si>
    <t>20180368</t>
  </si>
  <si>
    <t>20180369</t>
  </si>
  <si>
    <t>20180370</t>
  </si>
  <si>
    <t>20180371</t>
  </si>
  <si>
    <t>20180372</t>
  </si>
  <si>
    <t>20180373</t>
  </si>
  <si>
    <t>20180374</t>
  </si>
  <si>
    <t>20180375</t>
  </si>
  <si>
    <t>20180376</t>
  </si>
  <si>
    <t>20180377</t>
  </si>
  <si>
    <t>20180378</t>
  </si>
  <si>
    <t>20180379</t>
  </si>
  <si>
    <t>20180380</t>
  </si>
  <si>
    <t>20180381</t>
  </si>
  <si>
    <t>20180382</t>
  </si>
  <si>
    <t>20180383</t>
  </si>
  <si>
    <t>20180384</t>
  </si>
  <si>
    <t>20180385</t>
  </si>
  <si>
    <t>20180386</t>
  </si>
  <si>
    <t>20180387</t>
  </si>
  <si>
    <t>20180388</t>
  </si>
  <si>
    <t>20180389</t>
  </si>
  <si>
    <t>20180390</t>
  </si>
  <si>
    <t>20180391</t>
  </si>
  <si>
    <t>20180392</t>
  </si>
  <si>
    <t>20180393</t>
  </si>
  <si>
    <t>20180394</t>
  </si>
  <si>
    <t>20180395</t>
  </si>
  <si>
    <t>20180396</t>
  </si>
  <si>
    <t>20180397</t>
  </si>
  <si>
    <t>20180398</t>
  </si>
  <si>
    <t>20180399</t>
  </si>
  <si>
    <t>20180401</t>
  </si>
  <si>
    <t>20180402</t>
  </si>
  <si>
    <t>20180403</t>
  </si>
  <si>
    <t>20180404</t>
  </si>
  <si>
    <t>20180405</t>
  </si>
  <si>
    <t>20180406</t>
  </si>
  <si>
    <t>20180407</t>
  </si>
  <si>
    <t>20180408</t>
  </si>
  <si>
    <t>20180409</t>
  </si>
  <si>
    <t>20180410</t>
  </si>
  <si>
    <t>20180411</t>
  </si>
  <si>
    <t>20180412</t>
  </si>
  <si>
    <t>20180413</t>
  </si>
  <si>
    <t>20180414</t>
  </si>
  <si>
    <t>20180415</t>
  </si>
  <si>
    <t>20180416</t>
  </si>
  <si>
    <t>服务器联想SR550</t>
  </si>
  <si>
    <t>20180430</t>
  </si>
  <si>
    <t>20180793</t>
  </si>
  <si>
    <t>音响一对</t>
  </si>
  <si>
    <t>立体空调海尔</t>
  </si>
  <si>
    <t>20140072</t>
  </si>
  <si>
    <t>特色纺织网上交易系统</t>
  </si>
  <si>
    <t>20130098</t>
  </si>
  <si>
    <t>电子防潮箱</t>
  </si>
  <si>
    <t>20180336</t>
  </si>
  <si>
    <t>20180337</t>
  </si>
  <si>
    <t>20150285</t>
  </si>
  <si>
    <t>20150286</t>
  </si>
  <si>
    <t>20150291</t>
  </si>
  <si>
    <t>20150297</t>
  </si>
  <si>
    <t>20150332</t>
  </si>
  <si>
    <t>国际货运航线电子展示系统</t>
  </si>
  <si>
    <t>20150333</t>
  </si>
  <si>
    <t>世贸区电子展示系统</t>
  </si>
  <si>
    <t>20150344</t>
  </si>
  <si>
    <t>运输工具模型</t>
  </si>
  <si>
    <t>20230798</t>
  </si>
  <si>
    <t>20230799</t>
  </si>
  <si>
    <t>20230800</t>
  </si>
  <si>
    <t>20230801</t>
  </si>
  <si>
    <t>20230802</t>
  </si>
  <si>
    <t>20230803</t>
  </si>
  <si>
    <t>20230804</t>
  </si>
  <si>
    <t>20230805</t>
  </si>
  <si>
    <t>20230806</t>
  </si>
  <si>
    <t>20230807</t>
  </si>
  <si>
    <t>20230808</t>
  </si>
  <si>
    <t>20230809</t>
  </si>
  <si>
    <t>20230810</t>
  </si>
  <si>
    <t>20230811</t>
  </si>
  <si>
    <t>20230812</t>
  </si>
  <si>
    <t>20230813</t>
  </si>
  <si>
    <t>20230814</t>
  </si>
  <si>
    <t>20230815</t>
  </si>
  <si>
    <t>20230816</t>
  </si>
  <si>
    <t>20230817</t>
  </si>
  <si>
    <t>20230818</t>
  </si>
  <si>
    <t>20230819</t>
  </si>
  <si>
    <t>20230820</t>
  </si>
  <si>
    <t>20230821</t>
  </si>
  <si>
    <t>20230822</t>
  </si>
  <si>
    <t>20230823</t>
  </si>
  <si>
    <t>20230824</t>
  </si>
  <si>
    <t>20230825</t>
  </si>
  <si>
    <t>20230826</t>
  </si>
  <si>
    <t>20230827</t>
  </si>
  <si>
    <t>20230828</t>
  </si>
  <si>
    <t>20230829</t>
  </si>
  <si>
    <t>20230830</t>
  </si>
  <si>
    <t>20230855</t>
  </si>
  <si>
    <t>20230856</t>
  </si>
  <si>
    <t>20230857</t>
  </si>
  <si>
    <t>20230858</t>
  </si>
  <si>
    <t>20230859</t>
  </si>
  <si>
    <t>20230860</t>
  </si>
  <si>
    <t>20230861</t>
  </si>
  <si>
    <t>20230862</t>
  </si>
  <si>
    <t>20230863</t>
  </si>
  <si>
    <t>20230978</t>
  </si>
  <si>
    <t>20230979</t>
  </si>
  <si>
    <t>20230980</t>
  </si>
  <si>
    <t>20230981</t>
  </si>
  <si>
    <t>20230982</t>
  </si>
  <si>
    <t>20230983</t>
  </si>
  <si>
    <t>20230984</t>
  </si>
  <si>
    <t>20230985</t>
  </si>
  <si>
    <t>20230986</t>
  </si>
  <si>
    <t>20230987</t>
  </si>
  <si>
    <t>20230988</t>
  </si>
  <si>
    <t>20230989</t>
  </si>
  <si>
    <t>20230990</t>
  </si>
  <si>
    <t>20230991</t>
  </si>
  <si>
    <t>20230992</t>
  </si>
  <si>
    <t>20230993</t>
  </si>
  <si>
    <t>20230994</t>
  </si>
  <si>
    <t>20231027</t>
  </si>
  <si>
    <t>20231028</t>
  </si>
  <si>
    <t>20231086</t>
  </si>
  <si>
    <t>20150345</t>
  </si>
  <si>
    <t>世贸触摸展示系统</t>
  </si>
  <si>
    <t>20140679</t>
  </si>
  <si>
    <t>20151914</t>
  </si>
  <si>
    <t>20151917</t>
  </si>
  <si>
    <t>20151920</t>
  </si>
  <si>
    <t>20160213</t>
  </si>
  <si>
    <t>20170326</t>
  </si>
  <si>
    <t>20170327</t>
  </si>
  <si>
    <t>20171392</t>
  </si>
  <si>
    <t>20180298</t>
  </si>
  <si>
    <t>20200079</t>
  </si>
  <si>
    <t>扩音器</t>
  </si>
  <si>
    <t>20171044</t>
  </si>
  <si>
    <t>20171045</t>
  </si>
  <si>
    <t>20171046</t>
  </si>
  <si>
    <t>20171047</t>
  </si>
  <si>
    <t>20171048</t>
  </si>
  <si>
    <t>20171049</t>
  </si>
  <si>
    <t>20171050</t>
  </si>
  <si>
    <t>20171051</t>
  </si>
  <si>
    <t>20171052</t>
  </si>
  <si>
    <t>20171053</t>
  </si>
  <si>
    <t>20171054</t>
  </si>
  <si>
    <t>20171055</t>
  </si>
  <si>
    <t>20171056</t>
  </si>
  <si>
    <t>20171057</t>
  </si>
  <si>
    <t>20171058</t>
  </si>
  <si>
    <t>20171059</t>
  </si>
  <si>
    <t>20171060</t>
  </si>
  <si>
    <t>20171061</t>
  </si>
  <si>
    <t>20171062</t>
  </si>
  <si>
    <t>20171063</t>
  </si>
  <si>
    <t>20171064</t>
  </si>
  <si>
    <t>20171065</t>
  </si>
  <si>
    <t>20171066</t>
  </si>
  <si>
    <t>20171067</t>
  </si>
  <si>
    <t>20171068</t>
  </si>
  <si>
    <t>20171069</t>
  </si>
  <si>
    <t>20171070</t>
  </si>
  <si>
    <t>20171071</t>
  </si>
  <si>
    <t>20171072</t>
  </si>
  <si>
    <t>20171073</t>
  </si>
  <si>
    <t>20171074</t>
  </si>
  <si>
    <t>20171075</t>
  </si>
  <si>
    <t>20171076</t>
  </si>
  <si>
    <t>20171077</t>
  </si>
  <si>
    <t>20171078</t>
  </si>
  <si>
    <t>20171079</t>
  </si>
  <si>
    <t>20171080</t>
  </si>
  <si>
    <t>20171081</t>
  </si>
  <si>
    <t>20171082</t>
  </si>
  <si>
    <t>20171083</t>
  </si>
  <si>
    <t>20171085</t>
  </si>
  <si>
    <t>20171086</t>
  </si>
  <si>
    <t>20171088</t>
  </si>
  <si>
    <t>20171089</t>
  </si>
  <si>
    <t>20171090</t>
  </si>
  <si>
    <t>20180616</t>
  </si>
  <si>
    <t>20180625</t>
  </si>
  <si>
    <t>20180626</t>
  </si>
  <si>
    <t>20180627</t>
  </si>
  <si>
    <t>20180629</t>
  </si>
  <si>
    <t>20180630</t>
  </si>
  <si>
    <t>20180631</t>
  </si>
  <si>
    <t>20180632</t>
  </si>
  <si>
    <t>20210018</t>
  </si>
  <si>
    <t>20211617</t>
  </si>
  <si>
    <t>20211618</t>
  </si>
  <si>
    <t>20180417</t>
  </si>
  <si>
    <t>核心交换机</t>
  </si>
  <si>
    <t>20180418</t>
  </si>
  <si>
    <t>接入交换机</t>
  </si>
  <si>
    <t>20180559</t>
  </si>
  <si>
    <t>20180560</t>
  </si>
  <si>
    <t>20180561</t>
  </si>
  <si>
    <t>20180562</t>
  </si>
  <si>
    <t>20180563</t>
  </si>
  <si>
    <t>20180564</t>
  </si>
  <si>
    <t>20180565</t>
  </si>
  <si>
    <t>20180566</t>
  </si>
  <si>
    <t>20180567</t>
  </si>
  <si>
    <t>20180568</t>
  </si>
  <si>
    <t>20180569</t>
  </si>
  <si>
    <t>20180570</t>
  </si>
  <si>
    <t>20180571</t>
  </si>
  <si>
    <t>20180572</t>
  </si>
  <si>
    <t>20180573</t>
  </si>
  <si>
    <t>20180574</t>
  </si>
  <si>
    <t>20180575</t>
  </si>
  <si>
    <t>20180576</t>
  </si>
  <si>
    <t>20180577</t>
  </si>
  <si>
    <t>20180578</t>
  </si>
  <si>
    <t>20180579</t>
  </si>
  <si>
    <t>20180580</t>
  </si>
  <si>
    <t>20180581</t>
  </si>
  <si>
    <t>20180582</t>
  </si>
  <si>
    <t>20180583</t>
  </si>
  <si>
    <t>20180584</t>
  </si>
  <si>
    <t>20180585</t>
  </si>
  <si>
    <t>20180586</t>
  </si>
  <si>
    <t>20180587</t>
  </si>
  <si>
    <t>20180588</t>
  </si>
  <si>
    <t>20180589</t>
  </si>
  <si>
    <t>20180590</t>
  </si>
  <si>
    <t>20180591</t>
  </si>
  <si>
    <t>20180592</t>
  </si>
  <si>
    <t>20180593</t>
  </si>
  <si>
    <t>20180594</t>
  </si>
  <si>
    <t>20180595</t>
  </si>
  <si>
    <t>20180596</t>
  </si>
  <si>
    <t>20180597</t>
  </si>
  <si>
    <t>20180598</t>
  </si>
  <si>
    <t>20180599</t>
  </si>
  <si>
    <t>20180633</t>
  </si>
  <si>
    <t>20180634</t>
  </si>
  <si>
    <t>20180635</t>
  </si>
  <si>
    <t>20180636</t>
  </si>
  <si>
    <t>20180637</t>
  </si>
  <si>
    <t>20180638</t>
  </si>
  <si>
    <t>20180639</t>
  </si>
  <si>
    <t>20180640</t>
  </si>
  <si>
    <t>20180641</t>
  </si>
  <si>
    <t>20180642</t>
  </si>
  <si>
    <t>20180643</t>
  </si>
  <si>
    <t>20180644</t>
  </si>
  <si>
    <t>20180645</t>
  </si>
  <si>
    <t>20200078</t>
  </si>
  <si>
    <t>20200643</t>
  </si>
  <si>
    <t>20200650</t>
  </si>
  <si>
    <t>20200655</t>
  </si>
  <si>
    <t>20200662</t>
  </si>
  <si>
    <t>20200668</t>
  </si>
  <si>
    <t>20200675</t>
  </si>
  <si>
    <t>电动幕布</t>
  </si>
  <si>
    <t>20200680</t>
  </si>
  <si>
    <t>20210019</t>
  </si>
  <si>
    <t>20052329</t>
  </si>
  <si>
    <t>20160220</t>
  </si>
  <si>
    <t>20160479</t>
  </si>
  <si>
    <t>20180422</t>
  </si>
  <si>
    <t>20180423</t>
  </si>
  <si>
    <t>20180424</t>
  </si>
  <si>
    <t>20180648</t>
  </si>
  <si>
    <t>20200642</t>
  </si>
  <si>
    <t>20200649</t>
  </si>
  <si>
    <t>20200654</t>
  </si>
  <si>
    <t>20200661</t>
  </si>
  <si>
    <t>20200667</t>
  </si>
  <si>
    <t>20200674</t>
  </si>
  <si>
    <t>20200679</t>
  </si>
  <si>
    <t>电子计算器</t>
  </si>
  <si>
    <t>20140788</t>
  </si>
  <si>
    <t>20140790</t>
  </si>
  <si>
    <t>20140791</t>
  </si>
  <si>
    <t>20140919</t>
  </si>
  <si>
    <t>20140920</t>
  </si>
  <si>
    <t>20140921</t>
  </si>
  <si>
    <t>20140922</t>
  </si>
  <si>
    <t>20140923</t>
  </si>
  <si>
    <t>20140924</t>
  </si>
  <si>
    <t>20140925</t>
  </si>
  <si>
    <t>20140926</t>
  </si>
  <si>
    <t>20140927</t>
  </si>
  <si>
    <t>20140928</t>
  </si>
  <si>
    <t>20140929</t>
  </si>
  <si>
    <t>20140930</t>
  </si>
  <si>
    <t>20140931</t>
  </si>
  <si>
    <t>20140932</t>
  </si>
  <si>
    <t>20140933</t>
  </si>
  <si>
    <t>20140934</t>
  </si>
  <si>
    <t>20140935</t>
  </si>
  <si>
    <t>20140936</t>
  </si>
  <si>
    <t>20140937</t>
  </si>
  <si>
    <t>20140938</t>
  </si>
  <si>
    <t>20140939</t>
  </si>
  <si>
    <t>20140940</t>
  </si>
  <si>
    <t>20140941</t>
  </si>
  <si>
    <t>20140942</t>
  </si>
  <si>
    <t>20140943</t>
  </si>
  <si>
    <t>20140944</t>
  </si>
  <si>
    <t>20140945</t>
  </si>
  <si>
    <t>20140946</t>
  </si>
  <si>
    <t>20140947</t>
  </si>
  <si>
    <t>20140948</t>
  </si>
  <si>
    <t>20140949</t>
  </si>
  <si>
    <t>20140950</t>
  </si>
  <si>
    <t>20140951</t>
  </si>
  <si>
    <t>20140952</t>
  </si>
  <si>
    <t>20140953</t>
  </si>
  <si>
    <t>20140954</t>
  </si>
  <si>
    <t>20140955</t>
  </si>
  <si>
    <t>20140956</t>
  </si>
  <si>
    <t>20140957</t>
  </si>
  <si>
    <t>20140958</t>
  </si>
  <si>
    <t>20140959</t>
  </si>
  <si>
    <t>20140960</t>
  </si>
  <si>
    <t>20140961</t>
  </si>
  <si>
    <t>20140962</t>
  </si>
  <si>
    <t>20140963</t>
  </si>
  <si>
    <t>20140964</t>
  </si>
  <si>
    <t>20140965</t>
  </si>
  <si>
    <t>20140966</t>
  </si>
  <si>
    <t>希沃屏幕</t>
  </si>
  <si>
    <t>20150336</t>
  </si>
  <si>
    <t>地球仪</t>
  </si>
  <si>
    <t>20150337</t>
  </si>
  <si>
    <t>20150338</t>
  </si>
  <si>
    <t>20150339</t>
  </si>
  <si>
    <t>20150340</t>
  </si>
  <si>
    <t>20150341</t>
  </si>
  <si>
    <t>20150342</t>
  </si>
  <si>
    <t>20150343</t>
  </si>
  <si>
    <t>20160217</t>
  </si>
  <si>
    <t>20180647</t>
  </si>
  <si>
    <t>20190719</t>
  </si>
  <si>
    <t>20200779</t>
  </si>
  <si>
    <t>可视化录制型智慧教室录播系统</t>
  </si>
  <si>
    <t>20230068</t>
  </si>
  <si>
    <t>20230069</t>
  </si>
  <si>
    <t>20230070</t>
  </si>
  <si>
    <t>20240545</t>
  </si>
  <si>
    <t>20240546</t>
  </si>
  <si>
    <t>20240547</t>
  </si>
  <si>
    <t>20240548</t>
  </si>
  <si>
    <t>20240549</t>
  </si>
  <si>
    <t>20240550</t>
  </si>
  <si>
    <t>20240551</t>
  </si>
  <si>
    <t>20240552</t>
  </si>
  <si>
    <t>20240553</t>
  </si>
  <si>
    <t>20240554</t>
  </si>
  <si>
    <t>20240555</t>
  </si>
  <si>
    <t>20240556</t>
  </si>
  <si>
    <t>20240557</t>
  </si>
  <si>
    <t>20240558</t>
  </si>
  <si>
    <t>20240559</t>
  </si>
  <si>
    <t>20240560</t>
  </si>
  <si>
    <t>20240561</t>
  </si>
  <si>
    <t>20240562</t>
  </si>
  <si>
    <t>20240563</t>
  </si>
  <si>
    <t>20240564</t>
  </si>
  <si>
    <t>20240565</t>
  </si>
  <si>
    <t>20240566</t>
  </si>
  <si>
    <t>20240567</t>
  </si>
  <si>
    <t>20240568</t>
  </si>
  <si>
    <t>20240569</t>
  </si>
  <si>
    <t>20240570</t>
  </si>
  <si>
    <t>20240571</t>
  </si>
  <si>
    <t>20240572</t>
  </si>
  <si>
    <t>20240573</t>
  </si>
  <si>
    <t>20240574</t>
  </si>
  <si>
    <t>20240575</t>
  </si>
  <si>
    <t>20240576</t>
  </si>
  <si>
    <t>20240577</t>
  </si>
  <si>
    <t>20240578</t>
  </si>
  <si>
    <t>20240579</t>
  </si>
  <si>
    <t>20240580</t>
  </si>
  <si>
    <t>20240581</t>
  </si>
  <si>
    <t>20240582</t>
  </si>
  <si>
    <t>20240583</t>
  </si>
  <si>
    <t>20240584</t>
  </si>
  <si>
    <t>20240585</t>
  </si>
  <si>
    <t>20240586</t>
  </si>
  <si>
    <t>20240587</t>
  </si>
  <si>
    <t>20240588</t>
  </si>
  <si>
    <t>20240589</t>
  </si>
  <si>
    <t>20240590</t>
  </si>
  <si>
    <t>20240591</t>
  </si>
  <si>
    <t>20240592</t>
  </si>
  <si>
    <t>20240593</t>
  </si>
  <si>
    <t>20240594</t>
  </si>
  <si>
    <t>20240595</t>
  </si>
  <si>
    <t>20240596</t>
  </si>
  <si>
    <t>20240597</t>
  </si>
  <si>
    <t>20240598</t>
  </si>
  <si>
    <t>20240599</t>
  </si>
  <si>
    <t>20240604</t>
  </si>
  <si>
    <t>20160218</t>
  </si>
  <si>
    <t>20180646</t>
  </si>
  <si>
    <t>20200641</t>
  </si>
  <si>
    <t>20200648</t>
  </si>
  <si>
    <t>20200653</t>
  </si>
  <si>
    <t>20200660</t>
  </si>
  <si>
    <t>20200665</t>
  </si>
  <si>
    <t>20200673</t>
  </si>
  <si>
    <t>20200678</t>
  </si>
  <si>
    <t>20240490</t>
  </si>
  <si>
    <t>20240491</t>
  </si>
  <si>
    <t>20240492</t>
  </si>
  <si>
    <t>20240493</t>
  </si>
  <si>
    <t>20240494</t>
  </si>
  <si>
    <t>20240495</t>
  </si>
  <si>
    <t>20240496</t>
  </si>
  <si>
    <t>20240497</t>
  </si>
  <si>
    <t>20240498</t>
  </si>
  <si>
    <t>20240499</t>
  </si>
  <si>
    <t>20240500</t>
  </si>
  <si>
    <t>20240501</t>
  </si>
  <si>
    <t>20240502</t>
  </si>
  <si>
    <t>20240503</t>
  </si>
  <si>
    <t>20240504</t>
  </si>
  <si>
    <t>20240505</t>
  </si>
  <si>
    <t>20240506</t>
  </si>
  <si>
    <t>20240507</t>
  </si>
  <si>
    <t>20240508</t>
  </si>
  <si>
    <t>20240509</t>
  </si>
  <si>
    <t>20240510</t>
  </si>
  <si>
    <t>20240511</t>
  </si>
  <si>
    <t>20240512</t>
  </si>
  <si>
    <t>20240513</t>
  </si>
  <si>
    <t>20240514</t>
  </si>
  <si>
    <t>20240515</t>
  </si>
  <si>
    <t>20240516</t>
  </si>
  <si>
    <t>20240517</t>
  </si>
  <si>
    <t>20240518</t>
  </si>
  <si>
    <t>20240519</t>
  </si>
  <si>
    <t>20240520</t>
  </si>
  <si>
    <t>20240521</t>
  </si>
  <si>
    <t>20240522</t>
  </si>
  <si>
    <t>20240523</t>
  </si>
  <si>
    <t>20240524</t>
  </si>
  <si>
    <t>20240525</t>
  </si>
  <si>
    <t>20240526</t>
  </si>
  <si>
    <t>20240527</t>
  </si>
  <si>
    <t>20240528</t>
  </si>
  <si>
    <t>20240529</t>
  </si>
  <si>
    <t>20240530</t>
  </si>
  <si>
    <t>20240531</t>
  </si>
  <si>
    <t>20240532</t>
  </si>
  <si>
    <t>20240533</t>
  </si>
  <si>
    <t>20240534</t>
  </si>
  <si>
    <t>20240535</t>
  </si>
  <si>
    <t>20240536</t>
  </si>
  <si>
    <t>20240537</t>
  </si>
  <si>
    <t>20240538</t>
  </si>
  <si>
    <t>20240539</t>
  </si>
  <si>
    <t>20240540</t>
  </si>
  <si>
    <t>20240541</t>
  </si>
  <si>
    <t>20240542</t>
  </si>
  <si>
    <t>20240543</t>
  </si>
  <si>
    <t>20240544</t>
  </si>
  <si>
    <t>20240600</t>
  </si>
  <si>
    <t>20240601</t>
  </si>
  <si>
    <t>20240602</t>
  </si>
  <si>
    <t>20240603</t>
  </si>
  <si>
    <t>20240707</t>
  </si>
  <si>
    <t>桌面系统软件</t>
  </si>
  <si>
    <t>20171331</t>
  </si>
  <si>
    <t>20171334</t>
  </si>
  <si>
    <t>20171335</t>
  </si>
  <si>
    <t>20171336</t>
  </si>
  <si>
    <t>20171339</t>
  </si>
  <si>
    <t>20171340</t>
  </si>
  <si>
    <t>20171341</t>
  </si>
  <si>
    <t>20171345</t>
  </si>
  <si>
    <t>20171346</t>
  </si>
  <si>
    <t>20171347</t>
  </si>
  <si>
    <t>20171348</t>
  </si>
  <si>
    <t>20171349</t>
  </si>
  <si>
    <t>20171353</t>
  </si>
  <si>
    <t>20171354</t>
  </si>
  <si>
    <t>20171355</t>
  </si>
  <si>
    <t>20171356</t>
  </si>
  <si>
    <t>20171357</t>
  </si>
  <si>
    <t>20171358</t>
  </si>
  <si>
    <t>20180427</t>
  </si>
  <si>
    <t>20180428</t>
  </si>
  <si>
    <t>20180624</t>
  </si>
  <si>
    <t>20180649</t>
  </si>
  <si>
    <t>20200645</t>
  </si>
  <si>
    <t>20200652</t>
  </si>
  <si>
    <t>20200657</t>
  </si>
  <si>
    <t>20200664</t>
  </si>
  <si>
    <t>20200670</t>
  </si>
  <si>
    <t>20200671</t>
  </si>
  <si>
    <t>20200682</t>
  </si>
  <si>
    <t>20230373</t>
  </si>
  <si>
    <t>20230374</t>
  </si>
  <si>
    <t>眼动仪</t>
  </si>
  <si>
    <t>20230377</t>
  </si>
  <si>
    <t>20231030</t>
  </si>
  <si>
    <t>生理采集仪和数据分析软件</t>
  </si>
  <si>
    <t>20231031</t>
  </si>
  <si>
    <t>眼动仪和眼动轨迹分析系统</t>
  </si>
  <si>
    <t>20231032</t>
  </si>
  <si>
    <t>20231033</t>
  </si>
  <si>
    <t>组合电源设备</t>
  </si>
  <si>
    <t>20231034</t>
  </si>
  <si>
    <t>一体机系统设备</t>
  </si>
  <si>
    <t>20231035</t>
  </si>
  <si>
    <t>台式电脑（含显示器）</t>
  </si>
  <si>
    <t>20231036</t>
  </si>
  <si>
    <t>20171342</t>
  </si>
  <si>
    <t>20171359</t>
  </si>
  <si>
    <t>20180425</t>
  </si>
  <si>
    <t>20180426</t>
  </si>
  <si>
    <t>20180603</t>
  </si>
  <si>
    <t>20180604</t>
  </si>
  <si>
    <t>20180605</t>
  </si>
  <si>
    <t>20180606</t>
  </si>
  <si>
    <t>20180607</t>
  </si>
  <si>
    <t>20180608</t>
  </si>
  <si>
    <t>20180609</t>
  </si>
  <si>
    <t>20180610</t>
  </si>
  <si>
    <t>20180611</t>
  </si>
  <si>
    <t>20180612</t>
  </si>
  <si>
    <t>20180613</t>
  </si>
  <si>
    <t>20180614</t>
  </si>
  <si>
    <t>20180615</t>
  </si>
  <si>
    <t>20180617</t>
  </si>
  <si>
    <t>20180618</t>
  </si>
  <si>
    <t>20180619</t>
  </si>
  <si>
    <t>20180620</t>
  </si>
  <si>
    <t>20180621</t>
  </si>
  <si>
    <t>20180622</t>
  </si>
  <si>
    <t>20180628</t>
  </si>
  <si>
    <t>20200644</t>
  </si>
  <si>
    <t>20200651</t>
  </si>
  <si>
    <t>20200656</t>
  </si>
  <si>
    <t>20200663</t>
  </si>
  <si>
    <t>20200669</t>
  </si>
  <si>
    <t>20200676</t>
  </si>
  <si>
    <t>20200681</t>
  </si>
  <si>
    <t>20130045</t>
  </si>
  <si>
    <t>20190202</t>
  </si>
  <si>
    <t>乐龙专家版仿真软件</t>
  </si>
  <si>
    <t>20200489</t>
  </si>
  <si>
    <t>20200490</t>
  </si>
  <si>
    <t>20200491</t>
  </si>
  <si>
    <t>20200492</t>
  </si>
  <si>
    <t>20200493</t>
  </si>
  <si>
    <t>20200494</t>
  </si>
  <si>
    <t>20200495</t>
  </si>
  <si>
    <t>20200496</t>
  </si>
  <si>
    <t>20200497</t>
  </si>
  <si>
    <t>20200498</t>
  </si>
  <si>
    <t>20200499</t>
  </si>
  <si>
    <t>20200500</t>
  </si>
  <si>
    <t>20200501</t>
  </si>
  <si>
    <t>20200502</t>
  </si>
  <si>
    <t>20200503</t>
  </si>
  <si>
    <t>20200504</t>
  </si>
  <si>
    <t>20200505</t>
  </si>
  <si>
    <t>20200506</t>
  </si>
  <si>
    <t>20200507</t>
  </si>
  <si>
    <t>20200508</t>
  </si>
  <si>
    <t>20200509</t>
  </si>
  <si>
    <t>20200510</t>
  </si>
  <si>
    <t>20200511</t>
  </si>
  <si>
    <t>20200512</t>
  </si>
  <si>
    <t>20200513</t>
  </si>
  <si>
    <t>20200514</t>
  </si>
  <si>
    <t>20200515</t>
  </si>
  <si>
    <t>20200516</t>
  </si>
  <si>
    <t>20200517</t>
  </si>
  <si>
    <t>20200518</t>
  </si>
  <si>
    <t>20200519</t>
  </si>
  <si>
    <t>20200520</t>
  </si>
  <si>
    <t>20200521</t>
  </si>
  <si>
    <t>20200522</t>
  </si>
  <si>
    <t>20200523</t>
  </si>
  <si>
    <t>20200524</t>
  </si>
  <si>
    <t>20200525</t>
  </si>
  <si>
    <t>20200526</t>
  </si>
  <si>
    <t>20200527</t>
  </si>
  <si>
    <t>20200528</t>
  </si>
  <si>
    <t>20200529</t>
  </si>
  <si>
    <t>20200530</t>
  </si>
  <si>
    <t>20200531</t>
  </si>
  <si>
    <t>20200532</t>
  </si>
  <si>
    <t>20200533</t>
  </si>
  <si>
    <t>20200534</t>
  </si>
  <si>
    <t>20200535</t>
  </si>
  <si>
    <t>20200536</t>
  </si>
  <si>
    <t>20200537</t>
  </si>
  <si>
    <t>20200538</t>
  </si>
  <si>
    <t>20200539</t>
  </si>
  <si>
    <t>20200540</t>
  </si>
  <si>
    <t>20200541</t>
  </si>
  <si>
    <t>20200542</t>
  </si>
  <si>
    <t>20200543</t>
  </si>
  <si>
    <t>20200545</t>
  </si>
  <si>
    <t>20200546</t>
  </si>
  <si>
    <t>20200558</t>
  </si>
  <si>
    <t>20200559</t>
  </si>
  <si>
    <t>20200560</t>
  </si>
  <si>
    <t>数字移频功放</t>
  </si>
  <si>
    <t>20180173</t>
  </si>
  <si>
    <t>创业通识平台</t>
  </si>
  <si>
    <t>20180174</t>
  </si>
  <si>
    <t>供应链企业文化课程</t>
  </si>
  <si>
    <t>20180175</t>
  </si>
  <si>
    <t>和乐生活超市课程</t>
  </si>
  <si>
    <t>20180176</t>
  </si>
  <si>
    <t>云微店平</t>
  </si>
  <si>
    <t>20180177</t>
  </si>
  <si>
    <t>宇商网平台</t>
  </si>
  <si>
    <t>20180178</t>
  </si>
  <si>
    <t>和乐网平台</t>
  </si>
  <si>
    <t>20180179</t>
  </si>
  <si>
    <t>跨境电商实训平台</t>
  </si>
  <si>
    <t>20181112</t>
  </si>
  <si>
    <t>20181114</t>
  </si>
  <si>
    <t>20190806</t>
  </si>
  <si>
    <t>20200087</t>
  </si>
  <si>
    <t>20200965</t>
  </si>
  <si>
    <t>交互智能平板</t>
  </si>
  <si>
    <t>20200966</t>
  </si>
  <si>
    <t>VR智慧仓储实物实训系统</t>
  </si>
  <si>
    <t>20220426</t>
  </si>
  <si>
    <t>诺思智慧物流仓储软件</t>
  </si>
  <si>
    <t>20220973</t>
  </si>
  <si>
    <t>液压叉车</t>
  </si>
  <si>
    <t>20220974</t>
  </si>
  <si>
    <t>20220975</t>
  </si>
  <si>
    <t>20220976</t>
  </si>
  <si>
    <t>20221442</t>
  </si>
  <si>
    <t>物流实训基地升级改造项目</t>
  </si>
  <si>
    <t>20230195</t>
  </si>
  <si>
    <t>充电机</t>
  </si>
  <si>
    <t>20231029</t>
  </si>
  <si>
    <t>手动液压搬运叉车</t>
  </si>
  <si>
    <t>部分大型设备</t>
  </si>
  <si>
    <t>20200933</t>
  </si>
  <si>
    <t>20200934</t>
  </si>
  <si>
    <t>20200935</t>
  </si>
  <si>
    <t>20200936</t>
  </si>
  <si>
    <t>20200937</t>
  </si>
  <si>
    <t>20200938</t>
  </si>
  <si>
    <t>20200939</t>
  </si>
  <si>
    <t>20200940</t>
  </si>
  <si>
    <t>20200941</t>
  </si>
  <si>
    <t>VR显示屏</t>
  </si>
  <si>
    <t>20200942</t>
  </si>
  <si>
    <t>20200943</t>
  </si>
  <si>
    <t>20200944</t>
  </si>
  <si>
    <t>20200945</t>
  </si>
  <si>
    <t>20200946</t>
  </si>
  <si>
    <t>20200947</t>
  </si>
  <si>
    <t>20200948</t>
  </si>
  <si>
    <t>20200949</t>
  </si>
  <si>
    <t>VR中控机</t>
  </si>
  <si>
    <t>20200950</t>
  </si>
  <si>
    <t>20200951</t>
  </si>
  <si>
    <t>20200952</t>
  </si>
  <si>
    <t>20200953</t>
  </si>
  <si>
    <t>20200954</t>
  </si>
  <si>
    <t>20200955</t>
  </si>
  <si>
    <t>20200956</t>
  </si>
  <si>
    <t>20200957</t>
  </si>
  <si>
    <t>VR中控机展台</t>
  </si>
  <si>
    <t>20200958</t>
  </si>
  <si>
    <t>20200959</t>
  </si>
  <si>
    <t>20200960</t>
  </si>
  <si>
    <t>20200961</t>
  </si>
  <si>
    <t>20200962</t>
  </si>
  <si>
    <t>20200963</t>
  </si>
  <si>
    <t>20200964</t>
  </si>
  <si>
    <t>20150296</t>
  </si>
  <si>
    <t>20180340</t>
  </si>
  <si>
    <t>部分音响功放仓储</t>
  </si>
  <si>
    <t>旅游管理学院</t>
  </si>
  <si>
    <t>20180970</t>
  </si>
  <si>
    <t>20181241</t>
  </si>
  <si>
    <t>保鲜柜</t>
  </si>
  <si>
    <t>20190192</t>
  </si>
  <si>
    <t>净水器</t>
  </si>
  <si>
    <t>20211647</t>
  </si>
  <si>
    <t>花梨木茶桌套件</t>
  </si>
  <si>
    <t>20211648</t>
  </si>
  <si>
    <t>20211649</t>
  </si>
  <si>
    <t>户外防水防晒桌椅组合</t>
  </si>
  <si>
    <t>20211650</t>
  </si>
  <si>
    <t>20211651</t>
  </si>
  <si>
    <t>户外遮阳伞</t>
  </si>
  <si>
    <t>20220258</t>
  </si>
  <si>
    <t>20220300</t>
  </si>
  <si>
    <t>户外防晒桌椅组合</t>
  </si>
  <si>
    <t>20220301</t>
  </si>
  <si>
    <t>20220302</t>
  </si>
  <si>
    <t>20220303</t>
  </si>
  <si>
    <t>20221448</t>
  </si>
  <si>
    <t>制冰机</t>
  </si>
  <si>
    <t>20230046</t>
  </si>
  <si>
    <t>书架</t>
  </si>
  <si>
    <t>20230047</t>
  </si>
  <si>
    <t>20040266</t>
  </si>
  <si>
    <t>20130092</t>
  </si>
  <si>
    <t>20130183</t>
  </si>
  <si>
    <t>20130184</t>
  </si>
  <si>
    <t>20130228</t>
  </si>
  <si>
    <t>音响功放</t>
  </si>
  <si>
    <t>20130717</t>
  </si>
  <si>
    <t>冰柜</t>
  </si>
  <si>
    <t>20210862</t>
  </si>
  <si>
    <t>20210863</t>
  </si>
  <si>
    <t>扬声器</t>
  </si>
  <si>
    <t>20210864</t>
  </si>
  <si>
    <t>卡拉OK混响器</t>
  </si>
  <si>
    <t>20210865</t>
  </si>
  <si>
    <t>20210866</t>
  </si>
  <si>
    <t>20211354</t>
  </si>
  <si>
    <t>20022476</t>
  </si>
  <si>
    <t>20022477</t>
  </si>
  <si>
    <t>20030194</t>
  </si>
  <si>
    <t>电话机</t>
  </si>
  <si>
    <t>20030694</t>
  </si>
  <si>
    <t>刻录机</t>
  </si>
  <si>
    <t>20031029</t>
  </si>
  <si>
    <t>20040028</t>
  </si>
  <si>
    <t>20040053</t>
  </si>
  <si>
    <t>20040096</t>
  </si>
  <si>
    <t>视频图象展示台</t>
  </si>
  <si>
    <t>20040397</t>
  </si>
  <si>
    <t>20040707</t>
  </si>
  <si>
    <t>20040845</t>
  </si>
  <si>
    <t>20052153</t>
  </si>
  <si>
    <t>20090449</t>
  </si>
  <si>
    <t>20100294</t>
  </si>
  <si>
    <t>20100300</t>
  </si>
  <si>
    <t>20100495</t>
  </si>
  <si>
    <t>20110142</t>
  </si>
  <si>
    <t>20110148</t>
  </si>
  <si>
    <t>采访话筒</t>
  </si>
  <si>
    <t>20110149</t>
  </si>
  <si>
    <t>20120334</t>
  </si>
  <si>
    <t>20121425</t>
  </si>
  <si>
    <t>20170314</t>
  </si>
  <si>
    <t>20100531</t>
  </si>
  <si>
    <t>20100813</t>
  </si>
  <si>
    <t>20030948</t>
  </si>
  <si>
    <t>20040039</t>
  </si>
  <si>
    <t>20050529</t>
  </si>
  <si>
    <t>书写屏</t>
  </si>
  <si>
    <t>20050684</t>
  </si>
  <si>
    <t>20050685</t>
  </si>
  <si>
    <t>20051952</t>
  </si>
  <si>
    <t>20052089</t>
  </si>
  <si>
    <t>20052163</t>
  </si>
  <si>
    <t>20052166</t>
  </si>
  <si>
    <t>20052167</t>
  </si>
  <si>
    <t>20052168</t>
  </si>
  <si>
    <t>20052174</t>
  </si>
  <si>
    <t>20231146</t>
  </si>
  <si>
    <t>20060043</t>
  </si>
  <si>
    <t>20060047</t>
  </si>
  <si>
    <t>20100812</t>
  </si>
  <si>
    <t>20100838</t>
  </si>
  <si>
    <t>20110005</t>
  </si>
  <si>
    <t>20110006</t>
  </si>
  <si>
    <t>20110007</t>
  </si>
  <si>
    <t>20110008</t>
  </si>
  <si>
    <t>20190821</t>
  </si>
  <si>
    <t>20040270</t>
  </si>
  <si>
    <t>20110011</t>
  </si>
  <si>
    <t>20110155</t>
  </si>
  <si>
    <t>20160397</t>
  </si>
  <si>
    <t>20160401</t>
  </si>
  <si>
    <t>20160402</t>
  </si>
  <si>
    <t>界面大话筒</t>
  </si>
  <si>
    <t>20160457</t>
  </si>
  <si>
    <t>20190818</t>
  </si>
  <si>
    <t>20240755</t>
  </si>
  <si>
    <t>家具</t>
  </si>
  <si>
    <t>20240756</t>
  </si>
  <si>
    <t>20240757</t>
  </si>
  <si>
    <t>20240758</t>
  </si>
  <si>
    <t>20240759</t>
  </si>
  <si>
    <t>20240760</t>
  </si>
  <si>
    <t>20240761</t>
  </si>
  <si>
    <t>20240762</t>
  </si>
  <si>
    <t>20211572</t>
  </si>
  <si>
    <t>20100295</t>
  </si>
  <si>
    <t>20100496</t>
  </si>
  <si>
    <t>多媒体集中控制系统</t>
  </si>
  <si>
    <t>20180971</t>
  </si>
  <si>
    <t>20180972</t>
  </si>
  <si>
    <t>20180973</t>
  </si>
  <si>
    <t>20190001</t>
  </si>
  <si>
    <t>LED全彩显示屏</t>
  </si>
  <si>
    <t>20190002</t>
  </si>
  <si>
    <t>20190003</t>
  </si>
  <si>
    <t>20190004</t>
  </si>
  <si>
    <t>20190005</t>
  </si>
  <si>
    <t>20190006</t>
  </si>
  <si>
    <t>20190007</t>
  </si>
  <si>
    <t>20190008</t>
  </si>
  <si>
    <t>20190009</t>
  </si>
  <si>
    <t>20190010</t>
  </si>
  <si>
    <t>20190011</t>
  </si>
  <si>
    <t>20190012</t>
  </si>
  <si>
    <t>20190013</t>
  </si>
  <si>
    <t>20190014</t>
  </si>
  <si>
    <t>视频处理器</t>
  </si>
  <si>
    <t>20190015</t>
  </si>
  <si>
    <t>VR沉浸式头戴显示设备</t>
  </si>
  <si>
    <t>20190016</t>
  </si>
  <si>
    <t>20190017</t>
  </si>
  <si>
    <t>VR图像工作站</t>
  </si>
  <si>
    <t>20190018</t>
  </si>
  <si>
    <t>20190019</t>
  </si>
  <si>
    <t>VR一体机</t>
  </si>
  <si>
    <t>20190020</t>
  </si>
  <si>
    <t>20190021</t>
  </si>
  <si>
    <t>20190022</t>
  </si>
  <si>
    <t>20190023</t>
  </si>
  <si>
    <t>20190024</t>
  </si>
  <si>
    <t>20190025</t>
  </si>
  <si>
    <t>20190026</t>
  </si>
  <si>
    <t>20190027</t>
  </si>
  <si>
    <t>20190028</t>
  </si>
  <si>
    <t>20190029</t>
  </si>
  <si>
    <t>20190030</t>
  </si>
  <si>
    <t>20190031</t>
  </si>
  <si>
    <t>20190032</t>
  </si>
  <si>
    <t>20190033</t>
  </si>
  <si>
    <t>20190034</t>
  </si>
  <si>
    <t>20190035</t>
  </si>
  <si>
    <t>20190036</t>
  </si>
  <si>
    <t>20190037</t>
  </si>
  <si>
    <t>20190038</t>
  </si>
  <si>
    <t>20190039</t>
  </si>
  <si>
    <t>充电柜</t>
  </si>
  <si>
    <t>20190040</t>
  </si>
  <si>
    <t>无线路由器</t>
  </si>
  <si>
    <t>20190041</t>
  </si>
  <si>
    <t>AR互动展示台</t>
  </si>
  <si>
    <t>20190042</t>
  </si>
  <si>
    <t>20190043</t>
  </si>
  <si>
    <t>20190044</t>
  </si>
  <si>
    <t>20190045</t>
  </si>
  <si>
    <t>20190046</t>
  </si>
  <si>
    <t>20190047</t>
  </si>
  <si>
    <t>20190048</t>
  </si>
  <si>
    <t>20190049</t>
  </si>
  <si>
    <t>20190050</t>
  </si>
  <si>
    <t>20190051</t>
  </si>
  <si>
    <t>专业机柜</t>
  </si>
  <si>
    <t>20190052</t>
  </si>
  <si>
    <t>VR教学管理软件</t>
  </si>
  <si>
    <t>20190053</t>
  </si>
  <si>
    <t>VR景点资源</t>
  </si>
  <si>
    <t>20201298</t>
  </si>
  <si>
    <t>视频监控系统LG</t>
  </si>
  <si>
    <t>20211573</t>
  </si>
  <si>
    <t>20230196</t>
  </si>
  <si>
    <t>20090391</t>
  </si>
  <si>
    <t>复印机</t>
  </si>
  <si>
    <t>20100465</t>
  </si>
  <si>
    <t>20100468</t>
  </si>
  <si>
    <t>20110084</t>
  </si>
  <si>
    <t>20100497</t>
  </si>
  <si>
    <t>20100498</t>
  </si>
  <si>
    <t>多媒体教学系统</t>
  </si>
  <si>
    <t>20140331</t>
  </si>
  <si>
    <t>20200586</t>
  </si>
  <si>
    <t>20200587</t>
  </si>
  <si>
    <t>20200703</t>
  </si>
  <si>
    <t>20200704</t>
  </si>
  <si>
    <t>20200705</t>
  </si>
  <si>
    <t>电子锁</t>
  </si>
  <si>
    <t>20200706</t>
  </si>
  <si>
    <t>20200707</t>
  </si>
  <si>
    <t>20200708</t>
  </si>
  <si>
    <t>20200709</t>
  </si>
  <si>
    <t>20200710</t>
  </si>
  <si>
    <t>20200711</t>
  </si>
  <si>
    <t>20200712</t>
  </si>
  <si>
    <t>20200713</t>
  </si>
  <si>
    <t>20200714</t>
  </si>
  <si>
    <t>20200715</t>
  </si>
  <si>
    <t>20200716</t>
  </si>
  <si>
    <t>20200717</t>
  </si>
  <si>
    <t>20200718</t>
  </si>
  <si>
    <t>20200719</t>
  </si>
  <si>
    <t>20200720</t>
  </si>
  <si>
    <t>20200721</t>
  </si>
  <si>
    <t>20200722</t>
  </si>
  <si>
    <t>20200723</t>
  </si>
  <si>
    <t>20200724</t>
  </si>
  <si>
    <t>20200725</t>
  </si>
  <si>
    <t>20200726</t>
  </si>
  <si>
    <t>20200727</t>
  </si>
  <si>
    <t>20200728</t>
  </si>
  <si>
    <t>20200729</t>
  </si>
  <si>
    <t>20200730</t>
  </si>
  <si>
    <t>20200731</t>
  </si>
  <si>
    <t>20200732</t>
  </si>
  <si>
    <t>20200733</t>
  </si>
  <si>
    <t>20200734</t>
  </si>
  <si>
    <t>20200735</t>
  </si>
  <si>
    <t>20200736</t>
  </si>
  <si>
    <t>20200737</t>
  </si>
  <si>
    <t>20200738</t>
  </si>
  <si>
    <t>20200739</t>
  </si>
  <si>
    <t>20200740</t>
  </si>
  <si>
    <t>20200741</t>
  </si>
  <si>
    <t>20200742</t>
  </si>
  <si>
    <t>20200743</t>
  </si>
  <si>
    <t>20200744</t>
  </si>
  <si>
    <t>20200745</t>
  </si>
  <si>
    <t>20200746</t>
  </si>
  <si>
    <t>20200747</t>
  </si>
  <si>
    <t>20200748</t>
  </si>
  <si>
    <t>20200749</t>
  </si>
  <si>
    <t>20200750</t>
  </si>
  <si>
    <t>20200751</t>
  </si>
  <si>
    <t>20200752</t>
  </si>
  <si>
    <t>20200753</t>
  </si>
  <si>
    <t>20200754</t>
  </si>
  <si>
    <t>20200755</t>
  </si>
  <si>
    <t>20200756</t>
  </si>
  <si>
    <t>20200757</t>
  </si>
  <si>
    <t>20200758</t>
  </si>
  <si>
    <t>20200759</t>
  </si>
  <si>
    <t>20200760</t>
  </si>
  <si>
    <t>20200761</t>
  </si>
  <si>
    <t>20200762</t>
  </si>
  <si>
    <t>创意设计工作站</t>
  </si>
  <si>
    <t>20201158</t>
  </si>
  <si>
    <t>20221112</t>
  </si>
  <si>
    <t>酒店服务与管理教学实训系统</t>
  </si>
  <si>
    <t>20151747</t>
  </si>
  <si>
    <t>20240728</t>
  </si>
  <si>
    <t>旅游新媒体营销教学实训系统</t>
  </si>
  <si>
    <t>20241011</t>
  </si>
  <si>
    <t>智能POS机</t>
  </si>
  <si>
    <t>20241012</t>
  </si>
  <si>
    <t>20241013</t>
  </si>
  <si>
    <t>人脸识别设备（含二代身份证识别器）</t>
  </si>
  <si>
    <t>20241014</t>
  </si>
  <si>
    <t>20241015</t>
  </si>
  <si>
    <t>自动发卡机</t>
  </si>
  <si>
    <t>20241016</t>
  </si>
  <si>
    <t>20241017</t>
  </si>
  <si>
    <t>20190820</t>
  </si>
  <si>
    <t>20200840</t>
  </si>
  <si>
    <t>20200841</t>
  </si>
  <si>
    <t>计算机外部设备(电子班牌)</t>
  </si>
  <si>
    <t>20190602</t>
  </si>
  <si>
    <t>智慧课堂录播主机</t>
  </si>
  <si>
    <t>20190603</t>
  </si>
  <si>
    <t>多屏协助主机</t>
  </si>
  <si>
    <t>20190604</t>
  </si>
  <si>
    <t>大成智慧课堂分组管理软件</t>
  </si>
  <si>
    <t>20190605</t>
  </si>
  <si>
    <t>大成智慧课堂管理软件</t>
  </si>
  <si>
    <t>20190606</t>
  </si>
  <si>
    <t>大成智备课云平台</t>
  </si>
  <si>
    <t>20190607</t>
  </si>
  <si>
    <t>高清摄像机</t>
  </si>
  <si>
    <t>20190608</t>
  </si>
  <si>
    <t>20190609</t>
  </si>
  <si>
    <t>20190610</t>
  </si>
  <si>
    <t>20190611</t>
  </si>
  <si>
    <t>高清摄像机管理软件</t>
  </si>
  <si>
    <t>20190612</t>
  </si>
  <si>
    <t>20190613</t>
  </si>
  <si>
    <t>20190614</t>
  </si>
  <si>
    <t>20190615</t>
  </si>
  <si>
    <t>全自动录播系统软件</t>
  </si>
  <si>
    <t>20190616</t>
  </si>
  <si>
    <t>多机位导播系统软件</t>
  </si>
  <si>
    <t>20190617</t>
  </si>
  <si>
    <t>教师定位分析仪</t>
  </si>
  <si>
    <t>20190618</t>
  </si>
  <si>
    <t>教师定位分析仪软件</t>
  </si>
  <si>
    <t>20190619</t>
  </si>
  <si>
    <t>学生定位分析仪</t>
  </si>
  <si>
    <t>20190620</t>
  </si>
  <si>
    <t>学生定位分析仪软件</t>
  </si>
  <si>
    <t>20190621</t>
  </si>
  <si>
    <t>资源平台主机</t>
  </si>
  <si>
    <t>20190622</t>
  </si>
  <si>
    <t>教学视频资源管理系统</t>
  </si>
  <si>
    <t>20190623</t>
  </si>
  <si>
    <t>教学编辑非编软件</t>
  </si>
  <si>
    <t>20190624</t>
  </si>
  <si>
    <t>数字音频处理器</t>
  </si>
  <si>
    <t>20190625</t>
  </si>
  <si>
    <t>数字音频处理器软件</t>
  </si>
  <si>
    <t>20190626</t>
  </si>
  <si>
    <t>指向拾音话筒</t>
  </si>
  <si>
    <t>20190627</t>
  </si>
  <si>
    <t>20190628</t>
  </si>
  <si>
    <t>20190629</t>
  </si>
  <si>
    <t>20190630</t>
  </si>
  <si>
    <t>20190631</t>
  </si>
  <si>
    <t>20190632</t>
  </si>
  <si>
    <t>导播控制台</t>
  </si>
  <si>
    <t>20190633</t>
  </si>
  <si>
    <t>录制面板</t>
  </si>
  <si>
    <t>20190634</t>
  </si>
  <si>
    <t>电源管理器</t>
  </si>
  <si>
    <t>20190635</t>
  </si>
  <si>
    <t>智慧课堂学生学习软件</t>
  </si>
  <si>
    <t>20190637</t>
  </si>
  <si>
    <t>20190638</t>
  </si>
  <si>
    <t>20190639</t>
  </si>
  <si>
    <t>触摸平板</t>
  </si>
  <si>
    <t>20190640</t>
  </si>
  <si>
    <t>20190641</t>
  </si>
  <si>
    <t>20190642</t>
  </si>
  <si>
    <t>非编台</t>
  </si>
  <si>
    <t>20190643</t>
  </si>
  <si>
    <t>时序电源</t>
  </si>
  <si>
    <t>20190644</t>
  </si>
  <si>
    <t>20190645</t>
  </si>
  <si>
    <t>20190646</t>
  </si>
  <si>
    <t>20190647</t>
  </si>
  <si>
    <t>20190648</t>
  </si>
  <si>
    <t>20190649</t>
  </si>
  <si>
    <t>20190650</t>
  </si>
  <si>
    <t>辅材</t>
  </si>
  <si>
    <t>20200588</t>
  </si>
  <si>
    <t>20200589</t>
  </si>
  <si>
    <t>20200830</t>
  </si>
  <si>
    <t>计算机外部设备（自助终端机）</t>
  </si>
  <si>
    <t>20200831</t>
  </si>
  <si>
    <t>计算机外部设备（三锟闸）</t>
  </si>
  <si>
    <t>20200832</t>
  </si>
  <si>
    <t>计算机外部设备（工业条码打印机）</t>
  </si>
  <si>
    <t>20200833</t>
  </si>
  <si>
    <t>计算机外部设备（IC卡阅读器）</t>
  </si>
  <si>
    <t>20200834</t>
  </si>
  <si>
    <t>计算机外部设备（门牌验证手持机）</t>
  </si>
  <si>
    <t>20200835</t>
  </si>
  <si>
    <t>微型电子计算机（售票）</t>
  </si>
  <si>
    <t>20200836</t>
  </si>
  <si>
    <t>计算机外部设备（IC中文语音台式消费机）</t>
  </si>
  <si>
    <t>20200837</t>
  </si>
  <si>
    <t>20200838</t>
  </si>
  <si>
    <t>模拟类软件（票务管家系统）</t>
  </si>
  <si>
    <t>20200839</t>
  </si>
  <si>
    <t>20200842</t>
  </si>
  <si>
    <t>广播电视设备（微课录播主机含软件）</t>
  </si>
  <si>
    <t>20200843</t>
  </si>
  <si>
    <t>摄像机</t>
  </si>
  <si>
    <t>20200844</t>
  </si>
  <si>
    <t>20200845</t>
  </si>
  <si>
    <t>广播电视设备(录制面板)</t>
  </si>
  <si>
    <t>20200846</t>
  </si>
  <si>
    <t>20200847</t>
  </si>
  <si>
    <t>电子显示屏</t>
  </si>
  <si>
    <t>20200848</t>
  </si>
  <si>
    <t>LED影视灯</t>
  </si>
  <si>
    <t>20200849</t>
  </si>
  <si>
    <t>20200850</t>
  </si>
  <si>
    <t>20200851</t>
  </si>
  <si>
    <t>20090411</t>
  </si>
  <si>
    <t>20100301</t>
  </si>
  <si>
    <t>20100839</t>
  </si>
  <si>
    <t>20110086</t>
  </si>
  <si>
    <t>20110087</t>
  </si>
  <si>
    <t>20110265</t>
  </si>
  <si>
    <t>20110266</t>
  </si>
  <si>
    <t>20230516</t>
  </si>
  <si>
    <t>20230517</t>
  </si>
  <si>
    <t>20230518</t>
  </si>
  <si>
    <t>20230515</t>
  </si>
  <si>
    <t>20221594</t>
  </si>
  <si>
    <t>潞村民宿家具</t>
  </si>
  <si>
    <t>20240058</t>
  </si>
  <si>
    <t>饮水机</t>
  </si>
  <si>
    <t>20201163</t>
  </si>
  <si>
    <t>20040674</t>
  </si>
  <si>
    <t>传真机</t>
  </si>
  <si>
    <t>20070100</t>
  </si>
  <si>
    <t>20110192</t>
  </si>
  <si>
    <t>电子备课仪</t>
  </si>
  <si>
    <t>20052005</t>
  </si>
  <si>
    <t>20160670</t>
  </si>
  <si>
    <t>20160679</t>
  </si>
  <si>
    <t>20160680</t>
  </si>
  <si>
    <t>20160687</t>
  </si>
  <si>
    <t>20160688</t>
  </si>
  <si>
    <t>20160048</t>
  </si>
  <si>
    <t>平板电脑</t>
  </si>
  <si>
    <t>20090424</t>
  </si>
  <si>
    <t>20100304</t>
  </si>
  <si>
    <t>20090427</t>
  </si>
  <si>
    <t>20050530</t>
  </si>
  <si>
    <t>20090394</t>
  </si>
  <si>
    <t>20100297</t>
  </si>
  <si>
    <t>20100845</t>
  </si>
  <si>
    <t>20120710</t>
  </si>
  <si>
    <t>20050480</t>
  </si>
  <si>
    <t>20040470</t>
  </si>
  <si>
    <t>20051951</t>
  </si>
  <si>
    <t>20090606</t>
  </si>
  <si>
    <t>20090608</t>
  </si>
  <si>
    <t>20090610</t>
  </si>
  <si>
    <t>20190742</t>
  </si>
  <si>
    <t>20160058</t>
  </si>
  <si>
    <t>20180943</t>
  </si>
  <si>
    <t>20180944</t>
  </si>
  <si>
    <t>20180945</t>
  </si>
  <si>
    <t>20190193</t>
  </si>
  <si>
    <t>20070134</t>
  </si>
  <si>
    <t>20080048</t>
  </si>
  <si>
    <t>20160548</t>
  </si>
  <si>
    <t>20121421</t>
  </si>
  <si>
    <t>20140057</t>
  </si>
  <si>
    <t>20190822</t>
  </si>
  <si>
    <t>20070007</t>
  </si>
  <si>
    <t>20150163</t>
  </si>
  <si>
    <t>20160546</t>
  </si>
  <si>
    <t>20100519</t>
  </si>
  <si>
    <t>20170507</t>
  </si>
  <si>
    <t>20050109</t>
  </si>
  <si>
    <t>20050394</t>
  </si>
  <si>
    <t>20140075</t>
  </si>
  <si>
    <t>20150133</t>
  </si>
  <si>
    <t>20160047</t>
  </si>
  <si>
    <t>20070118</t>
  </si>
  <si>
    <t>20160727</t>
  </si>
  <si>
    <t>20070106</t>
  </si>
  <si>
    <t>20190814</t>
  </si>
  <si>
    <t>20080131</t>
  </si>
  <si>
    <t>20100581</t>
  </si>
  <si>
    <t>20050080</t>
  </si>
  <si>
    <t>20080693</t>
  </si>
  <si>
    <t>20100070</t>
  </si>
  <si>
    <t>20150066</t>
  </si>
  <si>
    <t>20150067</t>
  </si>
  <si>
    <t>20150068</t>
  </si>
  <si>
    <t>20052210</t>
  </si>
  <si>
    <t>社会发展与公共教育学院</t>
  </si>
  <si>
    <t>视频分配器</t>
  </si>
  <si>
    <t>控制台</t>
  </si>
  <si>
    <t>钢琴</t>
  </si>
  <si>
    <t>音乐教室系统设备</t>
  </si>
  <si>
    <t>景区GIS可视化管控</t>
  </si>
  <si>
    <t>景区案例实训教学系统</t>
  </si>
  <si>
    <t>摄像机电缆</t>
  </si>
  <si>
    <t>通话耳机</t>
  </si>
  <si>
    <t>镜头伺服</t>
  </si>
  <si>
    <t>虚拟演播室系统</t>
  </si>
  <si>
    <t>液晶电视机</t>
  </si>
  <si>
    <t>数码照相机</t>
  </si>
  <si>
    <t>云台</t>
  </si>
  <si>
    <t>轻型机柜</t>
  </si>
  <si>
    <t>一体机</t>
  </si>
  <si>
    <t>速录机</t>
  </si>
  <si>
    <t>调光台</t>
  </si>
  <si>
    <t>二代证阅读器</t>
  </si>
  <si>
    <t xml:space="preserve">微型电子计算机 </t>
  </si>
  <si>
    <t>无</t>
  </si>
  <si>
    <t>4个铁架栏</t>
  </si>
  <si>
    <t>广播级标准镜头</t>
  </si>
  <si>
    <t>人才测评系统</t>
  </si>
  <si>
    <t>招聘与甄选系统</t>
  </si>
  <si>
    <t>培训与开发系统</t>
  </si>
  <si>
    <t>绩效管理软件</t>
  </si>
  <si>
    <t>人力资源沙盘教学</t>
  </si>
  <si>
    <t>踏瑞人力资源设计与对抗比赛软件</t>
  </si>
  <si>
    <t>薪酬管理教学</t>
  </si>
  <si>
    <t>踏瑞实用企业岗位测评软件</t>
  </si>
  <si>
    <t>人力资源设计比赛软件</t>
  </si>
  <si>
    <t>行为现场直播软件</t>
  </si>
  <si>
    <t>室内球机摄像机</t>
  </si>
  <si>
    <t>数字高清解码器</t>
  </si>
  <si>
    <t>系统控制键盘</t>
  </si>
  <si>
    <t>高灵敏度监听头</t>
  </si>
  <si>
    <t>网络硬盘录像机</t>
  </si>
  <si>
    <t>综合实训室改造项目</t>
  </si>
  <si>
    <t>多功能语言实训室</t>
  </si>
  <si>
    <t>多媒体新体验云课堂教室</t>
  </si>
  <si>
    <t>党群（马院部分）</t>
  </si>
  <si>
    <t>VR终端*60</t>
  </si>
  <si>
    <t>图萌互动教学系统控制软件</t>
  </si>
  <si>
    <t>中控电脑</t>
  </si>
  <si>
    <t>VR充电消毒柜</t>
  </si>
  <si>
    <t>党建新媒体活动室系统</t>
  </si>
  <si>
    <t>智能讲台</t>
  </si>
  <si>
    <t>AR有声图书系统</t>
  </si>
  <si>
    <t>公共机房</t>
  </si>
  <si>
    <t>固态硬盘</t>
  </si>
  <si>
    <t>硬盘10块</t>
  </si>
  <si>
    <t>继续教育</t>
  </si>
  <si>
    <t>台式电脑</t>
  </si>
  <si>
    <t>数码摄像机</t>
  </si>
  <si>
    <t>打印复印扫描一体机</t>
  </si>
  <si>
    <t>身份证阅读器</t>
  </si>
  <si>
    <t>照片打印机</t>
  </si>
  <si>
    <t>视频会议系统</t>
  </si>
  <si>
    <t>消毒柜</t>
  </si>
  <si>
    <t>保密柜</t>
  </si>
  <si>
    <t>视频图象处理设备</t>
  </si>
  <si>
    <t>多功能数码复印机</t>
  </si>
  <si>
    <t>集中控制系统</t>
  </si>
  <si>
    <t>多媒体电脑</t>
  </si>
  <si>
    <t>音频处理系统</t>
  </si>
  <si>
    <t>领夹无线话筒</t>
  </si>
  <si>
    <t>手持无线话筒</t>
  </si>
  <si>
    <t>录播主机</t>
  </si>
  <si>
    <t>课堂实时录制系统</t>
  </si>
  <si>
    <t>智能跟踪系统</t>
  </si>
  <si>
    <t>远程交互终端</t>
  </si>
  <si>
    <t>开放式教学平台</t>
  </si>
  <si>
    <t>广播非编系统</t>
  </si>
  <si>
    <t>资源管理平台</t>
  </si>
  <si>
    <t>互动服务器</t>
  </si>
  <si>
    <t>云教室平台</t>
  </si>
  <si>
    <t>会议话筒</t>
  </si>
  <si>
    <t>DELL 存储</t>
  </si>
  <si>
    <t>UPS应急电源</t>
  </si>
  <si>
    <t>人证核验终端</t>
  </si>
  <si>
    <t>音箱系统</t>
  </si>
  <si>
    <t>中控系统</t>
  </si>
  <si>
    <t>中控设备</t>
  </si>
  <si>
    <t>监控配件</t>
  </si>
  <si>
    <t>云桌面系统</t>
  </si>
  <si>
    <t>音响系统</t>
  </si>
  <si>
    <t>触摸液晶一体机</t>
  </si>
  <si>
    <t>服务器网络板卡</t>
  </si>
  <si>
    <t>金属探测仪器*30</t>
  </si>
  <si>
    <t>屏蔽器</t>
  </si>
  <si>
    <t>功放+话筒</t>
  </si>
  <si>
    <t>电脑</t>
  </si>
  <si>
    <t>微波炉</t>
  </si>
  <si>
    <t>电风扇</t>
  </si>
  <si>
    <t>碎纸机</t>
  </si>
  <si>
    <t>电脑桌椅</t>
  </si>
  <si>
    <t>0202699J</t>
  </si>
  <si>
    <t>铁皮柜</t>
  </si>
  <si>
    <t>机柜及PDU</t>
  </si>
  <si>
    <t>K1/K3安全用具和现场作业隐患排除考核系统</t>
  </si>
  <si>
    <t>灭火器的选择和使用安全技术实际操作考核系统</t>
  </si>
  <si>
    <t>单人徒手心肺复苏安全技术实际操作考核系统</t>
  </si>
  <si>
    <t>创伤包扎实操智能网络考核系统</t>
  </si>
  <si>
    <t>高压电工实操考核系统</t>
  </si>
  <si>
    <t>低压电工实操考核系统</t>
  </si>
  <si>
    <t>熔化焊接与热切割实操考核系统</t>
  </si>
  <si>
    <t>高处作业（高处安装维护与拆除）</t>
  </si>
  <si>
    <t>平台搭建与拆除</t>
  </si>
  <si>
    <t>操作吊篮清洗作业</t>
  </si>
  <si>
    <t>电子屏</t>
  </si>
  <si>
    <t>人脸识别</t>
  </si>
  <si>
    <t>焊烟净化器</t>
  </si>
  <si>
    <t>电弧焊机</t>
  </si>
  <si>
    <t>监控</t>
  </si>
  <si>
    <t>020205:1503</t>
  </si>
  <si>
    <t>摄像头16个</t>
  </si>
  <si>
    <t>1505机房</t>
  </si>
  <si>
    <t>020207:计算机1511</t>
  </si>
  <si>
    <t>摄像头2个</t>
  </si>
  <si>
    <t>020204:事务机房1507</t>
  </si>
  <si>
    <t>2101大教室</t>
  </si>
  <si>
    <t>江波软件</t>
  </si>
  <si>
    <t>服务器4个</t>
  </si>
  <si>
    <t>DVR监控电脑4个</t>
  </si>
  <si>
    <t>020409:多媒体1806</t>
  </si>
  <si>
    <t>桌面无线话筒</t>
  </si>
  <si>
    <t>5楼通道</t>
  </si>
  <si>
    <t>24门刷脸存储柜</t>
  </si>
  <si>
    <t>指纹存储柜24门</t>
  </si>
  <si>
    <t>摄像头6个</t>
  </si>
  <si>
    <t>6楼通道</t>
  </si>
  <si>
    <t>24门指纹存储柜</t>
  </si>
  <si>
    <t>2楼通道</t>
  </si>
  <si>
    <t>湖州农民学院展厅（9号楼）</t>
  </si>
  <si>
    <t>13块小显示屏、6个电视、1个大电子屏、2个空调</t>
  </si>
  <si>
    <t>020410:多媒体1804</t>
  </si>
  <si>
    <t>6128教室</t>
  </si>
  <si>
    <t>1号楼2层大厅</t>
  </si>
  <si>
    <t>创业学院</t>
  </si>
  <si>
    <t>1台咖啡机(含制冰机、冰箱)</t>
  </si>
  <si>
    <t>台电脑</t>
  </si>
  <si>
    <t>1台打印机</t>
  </si>
  <si>
    <t>1个希沃大屏</t>
  </si>
  <si>
    <t>1个鸿合大屏</t>
  </si>
  <si>
    <t>学院所需耗材纸箱</t>
  </si>
  <si>
    <t>序号</t>
  </si>
  <si>
    <t>学院</t>
  </si>
  <si>
    <r>
      <rPr>
        <sz val="16"/>
        <color rgb="FF171A1D"/>
        <rFont val="宋体"/>
        <charset val="134"/>
      </rPr>
      <t>硬纸箱（大号）</t>
    </r>
    <r>
      <rPr>
        <sz val="16"/>
        <color rgb="FF171A1D"/>
        <rFont val="Segoe UI"/>
        <charset val="134"/>
      </rPr>
      <t>‌</t>
    </r>
    <r>
      <rPr>
        <sz val="16"/>
        <color rgb="FF171A1D"/>
        <rFont val="宋体"/>
        <charset val="134"/>
      </rPr>
      <t>：</t>
    </r>
    <r>
      <rPr>
        <sz val="16"/>
        <color rgb="FF171A1D"/>
        <rFont val="Segoe UI"/>
        <charset val="134"/>
      </rPr>
      <t>70cm×50cm×50cm</t>
    </r>
  </si>
  <si>
    <r>
      <rPr>
        <sz val="16"/>
        <color rgb="FF171A1D"/>
        <rFont val="Segoe UI"/>
        <charset val="134"/>
      </rPr>
      <t>‌</t>
    </r>
    <r>
      <rPr>
        <sz val="16"/>
        <color rgb="FF171A1D"/>
        <rFont val="宋体"/>
        <charset val="134"/>
      </rPr>
      <t>硬纸箱（小号）</t>
    </r>
    <r>
      <rPr>
        <sz val="16"/>
        <color rgb="FF171A1D"/>
        <rFont val="Segoe UI"/>
        <charset val="134"/>
      </rPr>
      <t>‌</t>
    </r>
    <r>
      <rPr>
        <sz val="16"/>
        <color rgb="FF171A1D"/>
        <rFont val="宋体"/>
        <charset val="134"/>
      </rPr>
      <t>：</t>
    </r>
    <r>
      <rPr>
        <sz val="16"/>
        <color rgb="FF171A1D"/>
        <rFont val="Segoe UI"/>
        <charset val="134"/>
      </rPr>
      <t>50cm×40cm×40cm</t>
    </r>
  </si>
  <si>
    <t>示例</t>
  </si>
  <si>
    <t>实训处</t>
  </si>
  <si>
    <t>合计：</t>
  </si>
  <si>
    <t>实训出高清球形摄像头</t>
  </si>
  <si>
    <t>20240774</t>
  </si>
  <si>
    <t>增强现实摄像头</t>
  </si>
  <si>
    <t>20231088</t>
  </si>
  <si>
    <t>20220104</t>
  </si>
  <si>
    <t>网络摄像机</t>
  </si>
  <si>
    <t>20170293</t>
  </si>
  <si>
    <t>高清球形摄像机</t>
  </si>
  <si>
    <t>20170294</t>
  </si>
  <si>
    <t>20170295</t>
  </si>
  <si>
    <t>20170296</t>
  </si>
  <si>
    <t>20170297</t>
  </si>
  <si>
    <t>20170298</t>
  </si>
  <si>
    <t>20170299</t>
  </si>
  <si>
    <t>20170300</t>
  </si>
  <si>
    <t>20161302</t>
  </si>
  <si>
    <t>网络高清球形摄像机</t>
  </si>
  <si>
    <t>20161303</t>
  </si>
  <si>
    <t>20161304</t>
  </si>
  <si>
    <t>20161305</t>
  </si>
  <si>
    <t>20161306</t>
  </si>
  <si>
    <t>20161307</t>
  </si>
  <si>
    <t>20161308</t>
  </si>
  <si>
    <t>20161309</t>
  </si>
  <si>
    <t>20161310</t>
  </si>
  <si>
    <t>20161311</t>
  </si>
  <si>
    <t>20161312</t>
  </si>
  <si>
    <t>20161313</t>
  </si>
  <si>
    <t>20161314</t>
  </si>
  <si>
    <t>20161315</t>
  </si>
  <si>
    <t>20161316</t>
  </si>
  <si>
    <t>20161317</t>
  </si>
  <si>
    <t>20161318</t>
  </si>
  <si>
    <t>20161319</t>
  </si>
  <si>
    <t>20161320</t>
  </si>
  <si>
    <t>20161321</t>
  </si>
  <si>
    <t>20161322</t>
  </si>
  <si>
    <t>20161323</t>
  </si>
  <si>
    <t>20161324</t>
  </si>
  <si>
    <t>20161325</t>
  </si>
  <si>
    <t>20161326</t>
  </si>
  <si>
    <t>20161327</t>
  </si>
  <si>
    <t>20161328</t>
  </si>
  <si>
    <t>20161329</t>
  </si>
  <si>
    <t>20161330</t>
  </si>
  <si>
    <t>20161331</t>
  </si>
  <si>
    <t>20161332</t>
  </si>
  <si>
    <t>20161333</t>
  </si>
  <si>
    <t>20161334</t>
  </si>
  <si>
    <t>20161335</t>
  </si>
  <si>
    <t>20161336</t>
  </si>
  <si>
    <t>20170292</t>
  </si>
  <si>
    <t>20200083</t>
  </si>
  <si>
    <t>20200084</t>
  </si>
  <si>
    <t>含拆、运、装、调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</si>
</sst>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171A1D"/>
      <name val="宋体"/>
      <charset val="134"/>
    </font>
    <font>
      <sz val="16"/>
      <color rgb="FF171A1D"/>
      <name val="Segoe UI"/>
      <charset val="134"/>
    </font>
    <font>
      <sz val="14"/>
      <color theme="1"/>
      <name val="宋体"/>
      <charset val="134"/>
      <scheme val="minor"/>
    </font>
    <font>
      <sz val="10.5"/>
      <color rgb="FF171A1D"/>
      <name val="Segoe UI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1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49" applyFont="1" applyBorder="1" applyAlignment="1">
      <alignment horizontal="left" vertical="center"/>
    </xf>
    <xf numFmtId="0" fontId="0" fillId="0" borderId="0" xfId="49" applyFont="1" applyBorder="1" applyAlignment="1">
      <alignment horizontal="center" vertical="center"/>
    </xf>
    <xf numFmtId="0" fontId="0" fillId="0" borderId="0" xfId="49" applyFont="1" applyBorder="1">
      <alignment vertical="center"/>
    </xf>
    <xf numFmtId="0" fontId="0" fillId="0" borderId="1" xfId="49" applyFont="1" applyBorder="1" applyAlignment="1">
      <alignment horizontal="center" vertical="center"/>
    </xf>
    <xf numFmtId="0" fontId="0" fillId="0" borderId="1" xfId="49" applyFont="1" applyBorder="1">
      <alignment vertical="center"/>
    </xf>
    <xf numFmtId="0" fontId="0" fillId="0" borderId="1" xfId="0" applyFont="1" applyBorder="1">
      <alignment vertical="center"/>
    </xf>
    <xf numFmtId="0" fontId="10" fillId="0" borderId="1" xfId="49" applyFont="1" applyFill="1" applyBorder="1" applyAlignment="1">
      <alignment vertical="center"/>
    </xf>
    <xf numFmtId="0" fontId="10" fillId="0" borderId="1" xfId="49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 vertical="center"/>
    </xf>
    <xf numFmtId="0" fontId="0" fillId="0" borderId="0" xfId="49" applyFill="1" applyAlignment="1">
      <alignment vertical="center"/>
    </xf>
    <xf numFmtId="0" fontId="11" fillId="0" borderId="0" xfId="49" applyFont="1" applyFill="1" applyBorder="1" applyAlignment="1">
      <alignment vertical="center"/>
    </xf>
    <xf numFmtId="0" fontId="0" fillId="0" borderId="0" xfId="49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Alignment="1">
      <alignment horizontal="left" vertical="center"/>
    </xf>
    <xf numFmtId="0" fontId="0" fillId="0" borderId="1" xfId="49" applyBorder="1">
      <alignment vertical="center"/>
    </xf>
    <xf numFmtId="0" fontId="0" fillId="0" borderId="1" xfId="49" applyBorder="1" applyAlignment="1">
      <alignment vertical="center" wrapText="1"/>
    </xf>
    <xf numFmtId="0" fontId="0" fillId="0" borderId="1" xfId="49" applyBorder="1" applyAlignment="1">
      <alignment horizontal="center" vertical="center" wrapText="1"/>
    </xf>
    <xf numFmtId="0" fontId="0" fillId="0" borderId="0" xfId="49">
      <alignment vertical="center"/>
    </xf>
    <xf numFmtId="0" fontId="10" fillId="0" borderId="1" xfId="49" applyFont="1" applyBorder="1">
      <alignment vertical="center"/>
    </xf>
    <xf numFmtId="0" fontId="10" fillId="0" borderId="1" xfId="49" applyFont="1" applyBorder="1" applyAlignment="1">
      <alignment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>
      <alignment vertical="center"/>
    </xf>
    <xf numFmtId="0" fontId="11" fillId="0" borderId="1" xfId="49" applyFont="1" applyBorder="1">
      <alignment vertical="center"/>
    </xf>
    <xf numFmtId="0" fontId="11" fillId="0" borderId="1" xfId="49" applyFont="1" applyBorder="1" applyAlignment="1">
      <alignment vertical="center" wrapText="1"/>
    </xf>
    <xf numFmtId="0" fontId="11" fillId="0" borderId="0" xfId="49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0" fillId="0" borderId="3" xfId="49" applyBorder="1" applyAlignment="1">
      <alignment horizontal="center" vertical="center" wrapText="1"/>
    </xf>
    <xf numFmtId="0" fontId="0" fillId="0" borderId="1" xfId="49" applyBorder="1" applyAlignment="1">
      <alignment horizontal="left" vertical="center"/>
    </xf>
    <xf numFmtId="0" fontId="0" fillId="0" borderId="1" xfId="49" applyFont="1" applyBorder="1" applyAlignment="1">
      <alignment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0" fillId="0" borderId="1" xfId="49" applyFont="1" applyFill="1" applyBorder="1">
      <alignment vertical="center"/>
    </xf>
    <xf numFmtId="0" fontId="0" fillId="0" borderId="1" xfId="49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49" applyFont="1" applyAlignment="1">
      <alignment horizontal="center" vertical="center"/>
    </xf>
    <xf numFmtId="0" fontId="0" fillId="0" borderId="0" xfId="49" applyFont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0" fillId="0" borderId="0" xfId="49" applyFont="1" applyFill="1">
      <alignment vertical="center"/>
    </xf>
    <xf numFmtId="0" fontId="0" fillId="0" borderId="1" xfId="49" applyFont="1" applyFill="1" applyBorder="1" applyAlignment="1">
      <alignment horizontal="left" vertical="center"/>
    </xf>
    <xf numFmtId="49" fontId="0" fillId="0" borderId="0" xfId="49" applyNumberFormat="1" applyFont="1" applyFill="1">
      <alignment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c-资产类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8"/>
  <sheetViews>
    <sheetView tabSelected="1" zoomScale="90" zoomScaleNormal="90" workbookViewId="0">
      <selection activeCell="A1" sqref="A1"/>
    </sheetView>
  </sheetViews>
  <sheetFormatPr defaultColWidth="10" defaultRowHeight="15" customHeight="1" outlineLevelCol="4"/>
  <cols>
    <col min="1" max="1" width="19.2" style="40" customWidth="1"/>
    <col min="2" max="2" width="9.375" style="40" customWidth="1"/>
    <col min="3" max="3" width="33.875" style="69" customWidth="1"/>
    <col min="4" max="4" width="12.825" style="40" customWidth="1"/>
    <col min="5" max="253" width="10" style="40"/>
    <col min="254" max="254" width="20" style="40" customWidth="1"/>
    <col min="255" max="255" width="7.375" style="40" customWidth="1"/>
    <col min="256" max="256" width="10.5" style="40" customWidth="1"/>
    <col min="257" max="257" width="34.2583333333333" style="40" customWidth="1"/>
    <col min="258" max="258" width="6.875" style="40" customWidth="1"/>
    <col min="259" max="259" width="10.5" style="40" customWidth="1"/>
    <col min="260" max="260" width="12.125" style="40" customWidth="1"/>
    <col min="261" max="509" width="10" style="40"/>
    <col min="510" max="510" width="20" style="40" customWidth="1"/>
    <col min="511" max="511" width="7.375" style="40" customWidth="1"/>
    <col min="512" max="512" width="10.5" style="40" customWidth="1"/>
    <col min="513" max="513" width="34.2583333333333" style="40" customWidth="1"/>
    <col min="514" max="514" width="6.875" style="40" customWidth="1"/>
    <col min="515" max="515" width="10.5" style="40" customWidth="1"/>
    <col min="516" max="516" width="12.125" style="40" customWidth="1"/>
    <col min="517" max="765" width="10" style="40"/>
    <col min="766" max="766" width="20" style="40" customWidth="1"/>
    <col min="767" max="767" width="7.375" style="40" customWidth="1"/>
    <col min="768" max="768" width="10.5" style="40" customWidth="1"/>
    <col min="769" max="769" width="34.2583333333333" style="40" customWidth="1"/>
    <col min="770" max="770" width="6.875" style="40" customWidth="1"/>
    <col min="771" max="771" width="10.5" style="40" customWidth="1"/>
    <col min="772" max="772" width="12.125" style="40" customWidth="1"/>
    <col min="773" max="1021" width="10" style="40"/>
    <col min="1022" max="1022" width="20" style="40" customWidth="1"/>
    <col min="1023" max="1023" width="7.375" style="40" customWidth="1"/>
    <col min="1024" max="1024" width="10.5" style="40" customWidth="1"/>
    <col min="1025" max="1025" width="34.2583333333333" style="40" customWidth="1"/>
    <col min="1026" max="1026" width="6.875" style="40" customWidth="1"/>
    <col min="1027" max="1027" width="10.5" style="40" customWidth="1"/>
    <col min="1028" max="1028" width="12.125" style="40" customWidth="1"/>
    <col min="1029" max="1277" width="10" style="40"/>
    <col min="1278" max="1278" width="20" style="40" customWidth="1"/>
    <col min="1279" max="1279" width="7.375" style="40" customWidth="1"/>
    <col min="1280" max="1280" width="10.5" style="40" customWidth="1"/>
    <col min="1281" max="1281" width="34.2583333333333" style="40" customWidth="1"/>
    <col min="1282" max="1282" width="6.875" style="40" customWidth="1"/>
    <col min="1283" max="1283" width="10.5" style="40" customWidth="1"/>
    <col min="1284" max="1284" width="12.125" style="40" customWidth="1"/>
    <col min="1285" max="1533" width="10" style="40"/>
    <col min="1534" max="1534" width="20" style="40" customWidth="1"/>
    <col min="1535" max="1535" width="7.375" style="40" customWidth="1"/>
    <col min="1536" max="1536" width="10.5" style="40" customWidth="1"/>
    <col min="1537" max="1537" width="34.2583333333333" style="40" customWidth="1"/>
    <col min="1538" max="1538" width="6.875" style="40" customWidth="1"/>
    <col min="1539" max="1539" width="10.5" style="40" customWidth="1"/>
    <col min="1540" max="1540" width="12.125" style="40" customWidth="1"/>
    <col min="1541" max="1789" width="10" style="40"/>
    <col min="1790" max="1790" width="20" style="40" customWidth="1"/>
    <col min="1791" max="1791" width="7.375" style="40" customWidth="1"/>
    <col min="1792" max="1792" width="10.5" style="40" customWidth="1"/>
    <col min="1793" max="1793" width="34.2583333333333" style="40" customWidth="1"/>
    <col min="1794" max="1794" width="6.875" style="40" customWidth="1"/>
    <col min="1795" max="1795" width="10.5" style="40" customWidth="1"/>
    <col min="1796" max="1796" width="12.125" style="40" customWidth="1"/>
    <col min="1797" max="2045" width="10" style="40"/>
    <col min="2046" max="2046" width="20" style="40" customWidth="1"/>
    <col min="2047" max="2047" width="7.375" style="40" customWidth="1"/>
    <col min="2048" max="2048" width="10.5" style="40" customWidth="1"/>
    <col min="2049" max="2049" width="34.2583333333333" style="40" customWidth="1"/>
    <col min="2050" max="2050" width="6.875" style="40" customWidth="1"/>
    <col min="2051" max="2051" width="10.5" style="40" customWidth="1"/>
    <col min="2052" max="2052" width="12.125" style="40" customWidth="1"/>
    <col min="2053" max="2301" width="10" style="40"/>
    <col min="2302" max="2302" width="20" style="40" customWidth="1"/>
    <col min="2303" max="2303" width="7.375" style="40" customWidth="1"/>
    <col min="2304" max="2304" width="10.5" style="40" customWidth="1"/>
    <col min="2305" max="2305" width="34.2583333333333" style="40" customWidth="1"/>
    <col min="2306" max="2306" width="6.875" style="40" customWidth="1"/>
    <col min="2307" max="2307" width="10.5" style="40" customWidth="1"/>
    <col min="2308" max="2308" width="12.125" style="40" customWidth="1"/>
    <col min="2309" max="2557" width="10" style="40"/>
    <col min="2558" max="2558" width="20" style="40" customWidth="1"/>
    <col min="2559" max="2559" width="7.375" style="40" customWidth="1"/>
    <col min="2560" max="2560" width="10.5" style="40" customWidth="1"/>
    <col min="2561" max="2561" width="34.2583333333333" style="40" customWidth="1"/>
    <col min="2562" max="2562" width="6.875" style="40" customWidth="1"/>
    <col min="2563" max="2563" width="10.5" style="40" customWidth="1"/>
    <col min="2564" max="2564" width="12.125" style="40" customWidth="1"/>
    <col min="2565" max="2813" width="10" style="40"/>
    <col min="2814" max="2814" width="20" style="40" customWidth="1"/>
    <col min="2815" max="2815" width="7.375" style="40" customWidth="1"/>
    <col min="2816" max="2816" width="10.5" style="40" customWidth="1"/>
    <col min="2817" max="2817" width="34.2583333333333" style="40" customWidth="1"/>
    <col min="2818" max="2818" width="6.875" style="40" customWidth="1"/>
    <col min="2819" max="2819" width="10.5" style="40" customWidth="1"/>
    <col min="2820" max="2820" width="12.125" style="40" customWidth="1"/>
    <col min="2821" max="3069" width="10" style="40"/>
    <col min="3070" max="3070" width="20" style="40" customWidth="1"/>
    <col min="3071" max="3071" width="7.375" style="40" customWidth="1"/>
    <col min="3072" max="3072" width="10.5" style="40" customWidth="1"/>
    <col min="3073" max="3073" width="34.2583333333333" style="40" customWidth="1"/>
    <col min="3074" max="3074" width="6.875" style="40" customWidth="1"/>
    <col min="3075" max="3075" width="10.5" style="40" customWidth="1"/>
    <col min="3076" max="3076" width="12.125" style="40" customWidth="1"/>
    <col min="3077" max="3325" width="10" style="40"/>
    <col min="3326" max="3326" width="20" style="40" customWidth="1"/>
    <col min="3327" max="3327" width="7.375" style="40" customWidth="1"/>
    <col min="3328" max="3328" width="10.5" style="40" customWidth="1"/>
    <col min="3329" max="3329" width="34.2583333333333" style="40" customWidth="1"/>
    <col min="3330" max="3330" width="6.875" style="40" customWidth="1"/>
    <col min="3331" max="3331" width="10.5" style="40" customWidth="1"/>
    <col min="3332" max="3332" width="12.125" style="40" customWidth="1"/>
    <col min="3333" max="3581" width="10" style="40"/>
    <col min="3582" max="3582" width="20" style="40" customWidth="1"/>
    <col min="3583" max="3583" width="7.375" style="40" customWidth="1"/>
    <col min="3584" max="3584" width="10.5" style="40" customWidth="1"/>
    <col min="3585" max="3585" width="34.2583333333333" style="40" customWidth="1"/>
    <col min="3586" max="3586" width="6.875" style="40" customWidth="1"/>
    <col min="3587" max="3587" width="10.5" style="40" customWidth="1"/>
    <col min="3588" max="3588" width="12.125" style="40" customWidth="1"/>
    <col min="3589" max="3837" width="10" style="40"/>
    <col min="3838" max="3838" width="20" style="40" customWidth="1"/>
    <col min="3839" max="3839" width="7.375" style="40" customWidth="1"/>
    <col min="3840" max="3840" width="10.5" style="40" customWidth="1"/>
    <col min="3841" max="3841" width="34.2583333333333" style="40" customWidth="1"/>
    <col min="3842" max="3842" width="6.875" style="40" customWidth="1"/>
    <col min="3843" max="3843" width="10.5" style="40" customWidth="1"/>
    <col min="3844" max="3844" width="12.125" style="40" customWidth="1"/>
    <col min="3845" max="4093" width="10" style="40"/>
    <col min="4094" max="4094" width="20" style="40" customWidth="1"/>
    <col min="4095" max="4095" width="7.375" style="40" customWidth="1"/>
    <col min="4096" max="4096" width="10.5" style="40" customWidth="1"/>
    <col min="4097" max="4097" width="34.2583333333333" style="40" customWidth="1"/>
    <col min="4098" max="4098" width="6.875" style="40" customWidth="1"/>
    <col min="4099" max="4099" width="10.5" style="40" customWidth="1"/>
    <col min="4100" max="4100" width="12.125" style="40" customWidth="1"/>
    <col min="4101" max="4349" width="10" style="40"/>
    <col min="4350" max="4350" width="20" style="40" customWidth="1"/>
    <col min="4351" max="4351" width="7.375" style="40" customWidth="1"/>
    <col min="4352" max="4352" width="10.5" style="40" customWidth="1"/>
    <col min="4353" max="4353" width="34.2583333333333" style="40" customWidth="1"/>
    <col min="4354" max="4354" width="6.875" style="40" customWidth="1"/>
    <col min="4355" max="4355" width="10.5" style="40" customWidth="1"/>
    <col min="4356" max="4356" width="12.125" style="40" customWidth="1"/>
    <col min="4357" max="4605" width="10" style="40"/>
    <col min="4606" max="4606" width="20" style="40" customWidth="1"/>
    <col min="4607" max="4607" width="7.375" style="40" customWidth="1"/>
    <col min="4608" max="4608" width="10.5" style="40" customWidth="1"/>
    <col min="4609" max="4609" width="34.2583333333333" style="40" customWidth="1"/>
    <col min="4610" max="4610" width="6.875" style="40" customWidth="1"/>
    <col min="4611" max="4611" width="10.5" style="40" customWidth="1"/>
    <col min="4612" max="4612" width="12.125" style="40" customWidth="1"/>
    <col min="4613" max="4861" width="10" style="40"/>
    <col min="4862" max="4862" width="20" style="40" customWidth="1"/>
    <col min="4863" max="4863" width="7.375" style="40" customWidth="1"/>
    <col min="4864" max="4864" width="10.5" style="40" customWidth="1"/>
    <col min="4865" max="4865" width="34.2583333333333" style="40" customWidth="1"/>
    <col min="4866" max="4866" width="6.875" style="40" customWidth="1"/>
    <col min="4867" max="4867" width="10.5" style="40" customWidth="1"/>
    <col min="4868" max="4868" width="12.125" style="40" customWidth="1"/>
    <col min="4869" max="5117" width="10" style="40"/>
    <col min="5118" max="5118" width="20" style="40" customWidth="1"/>
    <col min="5119" max="5119" width="7.375" style="40" customWidth="1"/>
    <col min="5120" max="5120" width="10.5" style="40" customWidth="1"/>
    <col min="5121" max="5121" width="34.2583333333333" style="40" customWidth="1"/>
    <col min="5122" max="5122" width="6.875" style="40" customWidth="1"/>
    <col min="5123" max="5123" width="10.5" style="40" customWidth="1"/>
    <col min="5124" max="5124" width="12.125" style="40" customWidth="1"/>
    <col min="5125" max="5373" width="10" style="40"/>
    <col min="5374" max="5374" width="20" style="40" customWidth="1"/>
    <col min="5375" max="5375" width="7.375" style="40" customWidth="1"/>
    <col min="5376" max="5376" width="10.5" style="40" customWidth="1"/>
    <col min="5377" max="5377" width="34.2583333333333" style="40" customWidth="1"/>
    <col min="5378" max="5378" width="6.875" style="40" customWidth="1"/>
    <col min="5379" max="5379" width="10.5" style="40" customWidth="1"/>
    <col min="5380" max="5380" width="12.125" style="40" customWidth="1"/>
    <col min="5381" max="5629" width="10" style="40"/>
    <col min="5630" max="5630" width="20" style="40" customWidth="1"/>
    <col min="5631" max="5631" width="7.375" style="40" customWidth="1"/>
    <col min="5632" max="5632" width="10.5" style="40" customWidth="1"/>
    <col min="5633" max="5633" width="34.2583333333333" style="40" customWidth="1"/>
    <col min="5634" max="5634" width="6.875" style="40" customWidth="1"/>
    <col min="5635" max="5635" width="10.5" style="40" customWidth="1"/>
    <col min="5636" max="5636" width="12.125" style="40" customWidth="1"/>
    <col min="5637" max="5885" width="10" style="40"/>
    <col min="5886" max="5886" width="20" style="40" customWidth="1"/>
    <col min="5887" max="5887" width="7.375" style="40" customWidth="1"/>
    <col min="5888" max="5888" width="10.5" style="40" customWidth="1"/>
    <col min="5889" max="5889" width="34.2583333333333" style="40" customWidth="1"/>
    <col min="5890" max="5890" width="6.875" style="40" customWidth="1"/>
    <col min="5891" max="5891" width="10.5" style="40" customWidth="1"/>
    <col min="5892" max="5892" width="12.125" style="40" customWidth="1"/>
    <col min="5893" max="6141" width="10" style="40"/>
    <col min="6142" max="6142" width="20" style="40" customWidth="1"/>
    <col min="6143" max="6143" width="7.375" style="40" customWidth="1"/>
    <col min="6144" max="6144" width="10.5" style="40" customWidth="1"/>
    <col min="6145" max="6145" width="34.2583333333333" style="40" customWidth="1"/>
    <col min="6146" max="6146" width="6.875" style="40" customWidth="1"/>
    <col min="6147" max="6147" width="10.5" style="40" customWidth="1"/>
    <col min="6148" max="6148" width="12.125" style="40" customWidth="1"/>
    <col min="6149" max="6397" width="10" style="40"/>
    <col min="6398" max="6398" width="20" style="40" customWidth="1"/>
    <col min="6399" max="6399" width="7.375" style="40" customWidth="1"/>
    <col min="6400" max="6400" width="10.5" style="40" customWidth="1"/>
    <col min="6401" max="6401" width="34.2583333333333" style="40" customWidth="1"/>
    <col min="6402" max="6402" width="6.875" style="40" customWidth="1"/>
    <col min="6403" max="6403" width="10.5" style="40" customWidth="1"/>
    <col min="6404" max="6404" width="12.125" style="40" customWidth="1"/>
    <col min="6405" max="6653" width="10" style="40"/>
    <col min="6654" max="6654" width="20" style="40" customWidth="1"/>
    <col min="6655" max="6655" width="7.375" style="40" customWidth="1"/>
    <col min="6656" max="6656" width="10.5" style="40" customWidth="1"/>
    <col min="6657" max="6657" width="34.2583333333333" style="40" customWidth="1"/>
    <col min="6658" max="6658" width="6.875" style="40" customWidth="1"/>
    <col min="6659" max="6659" width="10.5" style="40" customWidth="1"/>
    <col min="6660" max="6660" width="12.125" style="40" customWidth="1"/>
    <col min="6661" max="6909" width="10" style="40"/>
    <col min="6910" max="6910" width="20" style="40" customWidth="1"/>
    <col min="6911" max="6911" width="7.375" style="40" customWidth="1"/>
    <col min="6912" max="6912" width="10.5" style="40" customWidth="1"/>
    <col min="6913" max="6913" width="34.2583333333333" style="40" customWidth="1"/>
    <col min="6914" max="6914" width="6.875" style="40" customWidth="1"/>
    <col min="6915" max="6915" width="10.5" style="40" customWidth="1"/>
    <col min="6916" max="6916" width="12.125" style="40" customWidth="1"/>
    <col min="6917" max="7165" width="10" style="40"/>
    <col min="7166" max="7166" width="20" style="40" customWidth="1"/>
    <col min="7167" max="7167" width="7.375" style="40" customWidth="1"/>
    <col min="7168" max="7168" width="10.5" style="40" customWidth="1"/>
    <col min="7169" max="7169" width="34.2583333333333" style="40" customWidth="1"/>
    <col min="7170" max="7170" width="6.875" style="40" customWidth="1"/>
    <col min="7171" max="7171" width="10.5" style="40" customWidth="1"/>
    <col min="7172" max="7172" width="12.125" style="40" customWidth="1"/>
    <col min="7173" max="7421" width="10" style="40"/>
    <col min="7422" max="7422" width="20" style="40" customWidth="1"/>
    <col min="7423" max="7423" width="7.375" style="40" customWidth="1"/>
    <col min="7424" max="7424" width="10.5" style="40" customWidth="1"/>
    <col min="7425" max="7425" width="34.2583333333333" style="40" customWidth="1"/>
    <col min="7426" max="7426" width="6.875" style="40" customWidth="1"/>
    <col min="7427" max="7427" width="10.5" style="40" customWidth="1"/>
    <col min="7428" max="7428" width="12.125" style="40" customWidth="1"/>
    <col min="7429" max="7677" width="10" style="40"/>
    <col min="7678" max="7678" width="20" style="40" customWidth="1"/>
    <col min="7679" max="7679" width="7.375" style="40" customWidth="1"/>
    <col min="7680" max="7680" width="10.5" style="40" customWidth="1"/>
    <col min="7681" max="7681" width="34.2583333333333" style="40" customWidth="1"/>
    <col min="7682" max="7682" width="6.875" style="40" customWidth="1"/>
    <col min="7683" max="7683" width="10.5" style="40" customWidth="1"/>
    <col min="7684" max="7684" width="12.125" style="40" customWidth="1"/>
    <col min="7685" max="7933" width="10" style="40"/>
    <col min="7934" max="7934" width="20" style="40" customWidth="1"/>
    <col min="7935" max="7935" width="7.375" style="40" customWidth="1"/>
    <col min="7936" max="7936" width="10.5" style="40" customWidth="1"/>
    <col min="7937" max="7937" width="34.2583333333333" style="40" customWidth="1"/>
    <col min="7938" max="7938" width="6.875" style="40" customWidth="1"/>
    <col min="7939" max="7939" width="10.5" style="40" customWidth="1"/>
    <col min="7940" max="7940" width="12.125" style="40" customWidth="1"/>
    <col min="7941" max="8189" width="10" style="40"/>
    <col min="8190" max="8190" width="20" style="40" customWidth="1"/>
    <col min="8191" max="8191" width="7.375" style="40" customWidth="1"/>
    <col min="8192" max="8192" width="10.5" style="40" customWidth="1"/>
    <col min="8193" max="8193" width="34.2583333333333" style="40" customWidth="1"/>
    <col min="8194" max="8194" width="6.875" style="40" customWidth="1"/>
    <col min="8195" max="8195" width="10.5" style="40" customWidth="1"/>
    <col min="8196" max="8196" width="12.125" style="40" customWidth="1"/>
    <col min="8197" max="8445" width="10" style="40"/>
    <col min="8446" max="8446" width="20" style="40" customWidth="1"/>
    <col min="8447" max="8447" width="7.375" style="40" customWidth="1"/>
    <col min="8448" max="8448" width="10.5" style="40" customWidth="1"/>
    <col min="8449" max="8449" width="34.2583333333333" style="40" customWidth="1"/>
    <col min="8450" max="8450" width="6.875" style="40" customWidth="1"/>
    <col min="8451" max="8451" width="10.5" style="40" customWidth="1"/>
    <col min="8452" max="8452" width="12.125" style="40" customWidth="1"/>
    <col min="8453" max="8701" width="10" style="40"/>
    <col min="8702" max="8702" width="20" style="40" customWidth="1"/>
    <col min="8703" max="8703" width="7.375" style="40" customWidth="1"/>
    <col min="8704" max="8704" width="10.5" style="40" customWidth="1"/>
    <col min="8705" max="8705" width="34.2583333333333" style="40" customWidth="1"/>
    <col min="8706" max="8706" width="6.875" style="40" customWidth="1"/>
    <col min="8707" max="8707" width="10.5" style="40" customWidth="1"/>
    <col min="8708" max="8708" width="12.125" style="40" customWidth="1"/>
    <col min="8709" max="8957" width="10" style="40"/>
    <col min="8958" max="8958" width="20" style="40" customWidth="1"/>
    <col min="8959" max="8959" width="7.375" style="40" customWidth="1"/>
    <col min="8960" max="8960" width="10.5" style="40" customWidth="1"/>
    <col min="8961" max="8961" width="34.2583333333333" style="40" customWidth="1"/>
    <col min="8962" max="8962" width="6.875" style="40" customWidth="1"/>
    <col min="8963" max="8963" width="10.5" style="40" customWidth="1"/>
    <col min="8964" max="8964" width="12.125" style="40" customWidth="1"/>
    <col min="8965" max="9213" width="10" style="40"/>
    <col min="9214" max="9214" width="20" style="40" customWidth="1"/>
    <col min="9215" max="9215" width="7.375" style="40" customWidth="1"/>
    <col min="9216" max="9216" width="10.5" style="40" customWidth="1"/>
    <col min="9217" max="9217" width="34.2583333333333" style="40" customWidth="1"/>
    <col min="9218" max="9218" width="6.875" style="40" customWidth="1"/>
    <col min="9219" max="9219" width="10.5" style="40" customWidth="1"/>
    <col min="9220" max="9220" width="12.125" style="40" customWidth="1"/>
    <col min="9221" max="9469" width="10" style="40"/>
    <col min="9470" max="9470" width="20" style="40" customWidth="1"/>
    <col min="9471" max="9471" width="7.375" style="40" customWidth="1"/>
    <col min="9472" max="9472" width="10.5" style="40" customWidth="1"/>
    <col min="9473" max="9473" width="34.2583333333333" style="40" customWidth="1"/>
    <col min="9474" max="9474" width="6.875" style="40" customWidth="1"/>
    <col min="9475" max="9475" width="10.5" style="40" customWidth="1"/>
    <col min="9476" max="9476" width="12.125" style="40" customWidth="1"/>
    <col min="9477" max="9725" width="10" style="40"/>
    <col min="9726" max="9726" width="20" style="40" customWidth="1"/>
    <col min="9727" max="9727" width="7.375" style="40" customWidth="1"/>
    <col min="9728" max="9728" width="10.5" style="40" customWidth="1"/>
    <col min="9729" max="9729" width="34.2583333333333" style="40" customWidth="1"/>
    <col min="9730" max="9730" width="6.875" style="40" customWidth="1"/>
    <col min="9731" max="9731" width="10.5" style="40" customWidth="1"/>
    <col min="9732" max="9732" width="12.125" style="40" customWidth="1"/>
    <col min="9733" max="9981" width="10" style="40"/>
    <col min="9982" max="9982" width="20" style="40" customWidth="1"/>
    <col min="9983" max="9983" width="7.375" style="40" customWidth="1"/>
    <col min="9984" max="9984" width="10.5" style="40" customWidth="1"/>
    <col min="9985" max="9985" width="34.2583333333333" style="40" customWidth="1"/>
    <col min="9986" max="9986" width="6.875" style="40" customWidth="1"/>
    <col min="9987" max="9987" width="10.5" style="40" customWidth="1"/>
    <col min="9988" max="9988" width="12.125" style="40" customWidth="1"/>
    <col min="9989" max="10237" width="10" style="40"/>
    <col min="10238" max="10238" width="20" style="40" customWidth="1"/>
    <col min="10239" max="10239" width="7.375" style="40" customWidth="1"/>
    <col min="10240" max="10240" width="10.5" style="40" customWidth="1"/>
    <col min="10241" max="10241" width="34.2583333333333" style="40" customWidth="1"/>
    <col min="10242" max="10242" width="6.875" style="40" customWidth="1"/>
    <col min="10243" max="10243" width="10.5" style="40" customWidth="1"/>
    <col min="10244" max="10244" width="12.125" style="40" customWidth="1"/>
    <col min="10245" max="10493" width="10" style="40"/>
    <col min="10494" max="10494" width="20" style="40" customWidth="1"/>
    <col min="10495" max="10495" width="7.375" style="40" customWidth="1"/>
    <col min="10496" max="10496" width="10.5" style="40" customWidth="1"/>
    <col min="10497" max="10497" width="34.2583333333333" style="40" customWidth="1"/>
    <col min="10498" max="10498" width="6.875" style="40" customWidth="1"/>
    <col min="10499" max="10499" width="10.5" style="40" customWidth="1"/>
    <col min="10500" max="10500" width="12.125" style="40" customWidth="1"/>
    <col min="10501" max="10749" width="10" style="40"/>
    <col min="10750" max="10750" width="20" style="40" customWidth="1"/>
    <col min="10751" max="10751" width="7.375" style="40" customWidth="1"/>
    <col min="10752" max="10752" width="10.5" style="40" customWidth="1"/>
    <col min="10753" max="10753" width="34.2583333333333" style="40" customWidth="1"/>
    <col min="10754" max="10754" width="6.875" style="40" customWidth="1"/>
    <col min="10755" max="10755" width="10.5" style="40" customWidth="1"/>
    <col min="10756" max="10756" width="12.125" style="40" customWidth="1"/>
    <col min="10757" max="11005" width="10" style="40"/>
    <col min="11006" max="11006" width="20" style="40" customWidth="1"/>
    <col min="11007" max="11007" width="7.375" style="40" customWidth="1"/>
    <col min="11008" max="11008" width="10.5" style="40" customWidth="1"/>
    <col min="11009" max="11009" width="34.2583333333333" style="40" customWidth="1"/>
    <col min="11010" max="11010" width="6.875" style="40" customWidth="1"/>
    <col min="11011" max="11011" width="10.5" style="40" customWidth="1"/>
    <col min="11012" max="11012" width="12.125" style="40" customWidth="1"/>
    <col min="11013" max="11261" width="10" style="40"/>
    <col min="11262" max="11262" width="20" style="40" customWidth="1"/>
    <col min="11263" max="11263" width="7.375" style="40" customWidth="1"/>
    <col min="11264" max="11264" width="10.5" style="40" customWidth="1"/>
    <col min="11265" max="11265" width="34.2583333333333" style="40" customWidth="1"/>
    <col min="11266" max="11266" width="6.875" style="40" customWidth="1"/>
    <col min="11267" max="11267" width="10.5" style="40" customWidth="1"/>
    <col min="11268" max="11268" width="12.125" style="40" customWidth="1"/>
    <col min="11269" max="11517" width="10" style="40"/>
    <col min="11518" max="11518" width="20" style="40" customWidth="1"/>
    <col min="11519" max="11519" width="7.375" style="40" customWidth="1"/>
    <col min="11520" max="11520" width="10.5" style="40" customWidth="1"/>
    <col min="11521" max="11521" width="34.2583333333333" style="40" customWidth="1"/>
    <col min="11522" max="11522" width="6.875" style="40" customWidth="1"/>
    <col min="11523" max="11523" width="10.5" style="40" customWidth="1"/>
    <col min="11524" max="11524" width="12.125" style="40" customWidth="1"/>
    <col min="11525" max="11773" width="10" style="40"/>
    <col min="11774" max="11774" width="20" style="40" customWidth="1"/>
    <col min="11775" max="11775" width="7.375" style="40" customWidth="1"/>
    <col min="11776" max="11776" width="10.5" style="40" customWidth="1"/>
    <col min="11777" max="11777" width="34.2583333333333" style="40" customWidth="1"/>
    <col min="11778" max="11778" width="6.875" style="40" customWidth="1"/>
    <col min="11779" max="11779" width="10.5" style="40" customWidth="1"/>
    <col min="11780" max="11780" width="12.125" style="40" customWidth="1"/>
    <col min="11781" max="12029" width="10" style="40"/>
    <col min="12030" max="12030" width="20" style="40" customWidth="1"/>
    <col min="12031" max="12031" width="7.375" style="40" customWidth="1"/>
    <col min="12032" max="12032" width="10.5" style="40" customWidth="1"/>
    <col min="12033" max="12033" width="34.2583333333333" style="40" customWidth="1"/>
    <col min="12034" max="12034" width="6.875" style="40" customWidth="1"/>
    <col min="12035" max="12035" width="10.5" style="40" customWidth="1"/>
    <col min="12036" max="12036" width="12.125" style="40" customWidth="1"/>
    <col min="12037" max="12285" width="10" style="40"/>
    <col min="12286" max="12286" width="20" style="40" customWidth="1"/>
    <col min="12287" max="12287" width="7.375" style="40" customWidth="1"/>
    <col min="12288" max="12288" width="10.5" style="40" customWidth="1"/>
    <col min="12289" max="12289" width="34.2583333333333" style="40" customWidth="1"/>
    <col min="12290" max="12290" width="6.875" style="40" customWidth="1"/>
    <col min="12291" max="12291" width="10.5" style="40" customWidth="1"/>
    <col min="12292" max="12292" width="12.125" style="40" customWidth="1"/>
    <col min="12293" max="12541" width="10" style="40"/>
    <col min="12542" max="12542" width="20" style="40" customWidth="1"/>
    <col min="12543" max="12543" width="7.375" style="40" customWidth="1"/>
    <col min="12544" max="12544" width="10.5" style="40" customWidth="1"/>
    <col min="12545" max="12545" width="34.2583333333333" style="40" customWidth="1"/>
    <col min="12546" max="12546" width="6.875" style="40" customWidth="1"/>
    <col min="12547" max="12547" width="10.5" style="40" customWidth="1"/>
    <col min="12548" max="12548" width="12.125" style="40" customWidth="1"/>
    <col min="12549" max="12797" width="10" style="40"/>
    <col min="12798" max="12798" width="20" style="40" customWidth="1"/>
    <col min="12799" max="12799" width="7.375" style="40" customWidth="1"/>
    <col min="12800" max="12800" width="10.5" style="40" customWidth="1"/>
    <col min="12801" max="12801" width="34.2583333333333" style="40" customWidth="1"/>
    <col min="12802" max="12802" width="6.875" style="40" customWidth="1"/>
    <col min="12803" max="12803" width="10.5" style="40" customWidth="1"/>
    <col min="12804" max="12804" width="12.125" style="40" customWidth="1"/>
    <col min="12805" max="13053" width="10" style="40"/>
    <col min="13054" max="13054" width="20" style="40" customWidth="1"/>
    <col min="13055" max="13055" width="7.375" style="40" customWidth="1"/>
    <col min="13056" max="13056" width="10.5" style="40" customWidth="1"/>
    <col min="13057" max="13057" width="34.2583333333333" style="40" customWidth="1"/>
    <col min="13058" max="13058" width="6.875" style="40" customWidth="1"/>
    <col min="13059" max="13059" width="10.5" style="40" customWidth="1"/>
    <col min="13060" max="13060" width="12.125" style="40" customWidth="1"/>
    <col min="13061" max="13309" width="10" style="40"/>
    <col min="13310" max="13310" width="20" style="40" customWidth="1"/>
    <col min="13311" max="13311" width="7.375" style="40" customWidth="1"/>
    <col min="13312" max="13312" width="10.5" style="40" customWidth="1"/>
    <col min="13313" max="13313" width="34.2583333333333" style="40" customWidth="1"/>
    <col min="13314" max="13314" width="6.875" style="40" customWidth="1"/>
    <col min="13315" max="13315" width="10.5" style="40" customWidth="1"/>
    <col min="13316" max="13316" width="12.125" style="40" customWidth="1"/>
    <col min="13317" max="13565" width="10" style="40"/>
    <col min="13566" max="13566" width="20" style="40" customWidth="1"/>
    <col min="13567" max="13567" width="7.375" style="40" customWidth="1"/>
    <col min="13568" max="13568" width="10.5" style="40" customWidth="1"/>
    <col min="13569" max="13569" width="34.2583333333333" style="40" customWidth="1"/>
    <col min="13570" max="13570" width="6.875" style="40" customWidth="1"/>
    <col min="13571" max="13571" width="10.5" style="40" customWidth="1"/>
    <col min="13572" max="13572" width="12.125" style="40" customWidth="1"/>
    <col min="13573" max="13821" width="10" style="40"/>
    <col min="13822" max="13822" width="20" style="40" customWidth="1"/>
    <col min="13823" max="13823" width="7.375" style="40" customWidth="1"/>
    <col min="13824" max="13824" width="10.5" style="40" customWidth="1"/>
    <col min="13825" max="13825" width="34.2583333333333" style="40" customWidth="1"/>
    <col min="13826" max="13826" width="6.875" style="40" customWidth="1"/>
    <col min="13827" max="13827" width="10.5" style="40" customWidth="1"/>
    <col min="13828" max="13828" width="12.125" style="40" customWidth="1"/>
    <col min="13829" max="14077" width="10" style="40"/>
    <col min="14078" max="14078" width="20" style="40" customWidth="1"/>
    <col min="14079" max="14079" width="7.375" style="40" customWidth="1"/>
    <col min="14080" max="14080" width="10.5" style="40" customWidth="1"/>
    <col min="14081" max="14081" width="34.2583333333333" style="40" customWidth="1"/>
    <col min="14082" max="14082" width="6.875" style="40" customWidth="1"/>
    <col min="14083" max="14083" width="10.5" style="40" customWidth="1"/>
    <col min="14084" max="14084" width="12.125" style="40" customWidth="1"/>
    <col min="14085" max="14333" width="10" style="40"/>
    <col min="14334" max="14334" width="20" style="40" customWidth="1"/>
    <col min="14335" max="14335" width="7.375" style="40" customWidth="1"/>
    <col min="14336" max="14336" width="10.5" style="40" customWidth="1"/>
    <col min="14337" max="14337" width="34.2583333333333" style="40" customWidth="1"/>
    <col min="14338" max="14338" width="6.875" style="40" customWidth="1"/>
    <col min="14339" max="14339" width="10.5" style="40" customWidth="1"/>
    <col min="14340" max="14340" width="12.125" style="40" customWidth="1"/>
    <col min="14341" max="14589" width="10" style="40"/>
    <col min="14590" max="14590" width="20" style="40" customWidth="1"/>
    <col min="14591" max="14591" width="7.375" style="40" customWidth="1"/>
    <col min="14592" max="14592" width="10.5" style="40" customWidth="1"/>
    <col min="14593" max="14593" width="34.2583333333333" style="40" customWidth="1"/>
    <col min="14594" max="14594" width="6.875" style="40" customWidth="1"/>
    <col min="14595" max="14595" width="10.5" style="40" customWidth="1"/>
    <col min="14596" max="14596" width="12.125" style="40" customWidth="1"/>
    <col min="14597" max="14845" width="10" style="40"/>
    <col min="14846" max="14846" width="20" style="40" customWidth="1"/>
    <col min="14847" max="14847" width="7.375" style="40" customWidth="1"/>
    <col min="14848" max="14848" width="10.5" style="40" customWidth="1"/>
    <col min="14849" max="14849" width="34.2583333333333" style="40" customWidth="1"/>
    <col min="14850" max="14850" width="6.875" style="40" customWidth="1"/>
    <col min="14851" max="14851" width="10.5" style="40" customWidth="1"/>
    <col min="14852" max="14852" width="12.125" style="40" customWidth="1"/>
    <col min="14853" max="15101" width="10" style="40"/>
    <col min="15102" max="15102" width="20" style="40" customWidth="1"/>
    <col min="15103" max="15103" width="7.375" style="40" customWidth="1"/>
    <col min="15104" max="15104" width="10.5" style="40" customWidth="1"/>
    <col min="15105" max="15105" width="34.2583333333333" style="40" customWidth="1"/>
    <col min="15106" max="15106" width="6.875" style="40" customWidth="1"/>
    <col min="15107" max="15107" width="10.5" style="40" customWidth="1"/>
    <col min="15108" max="15108" width="12.125" style="40" customWidth="1"/>
    <col min="15109" max="15357" width="10" style="40"/>
    <col min="15358" max="15358" width="20" style="40" customWidth="1"/>
    <col min="15359" max="15359" width="7.375" style="40" customWidth="1"/>
    <col min="15360" max="15360" width="10.5" style="40" customWidth="1"/>
    <col min="15361" max="15361" width="34.2583333333333" style="40" customWidth="1"/>
    <col min="15362" max="15362" width="6.875" style="40" customWidth="1"/>
    <col min="15363" max="15363" width="10.5" style="40" customWidth="1"/>
    <col min="15364" max="15364" width="12.125" style="40" customWidth="1"/>
    <col min="15365" max="15613" width="10" style="40"/>
    <col min="15614" max="15614" width="20" style="40" customWidth="1"/>
    <col min="15615" max="15615" width="7.375" style="40" customWidth="1"/>
    <col min="15616" max="15616" width="10.5" style="40" customWidth="1"/>
    <col min="15617" max="15617" width="34.2583333333333" style="40" customWidth="1"/>
    <col min="15618" max="15618" width="6.875" style="40" customWidth="1"/>
    <col min="15619" max="15619" width="10.5" style="40" customWidth="1"/>
    <col min="15620" max="15620" width="12.125" style="40" customWidth="1"/>
    <col min="15621" max="15869" width="10" style="40"/>
    <col min="15870" max="15870" width="20" style="40" customWidth="1"/>
    <col min="15871" max="15871" width="7.375" style="40" customWidth="1"/>
    <col min="15872" max="15872" width="10.5" style="40" customWidth="1"/>
    <col min="15873" max="15873" width="34.2583333333333" style="40" customWidth="1"/>
    <col min="15874" max="15874" width="6.875" style="40" customWidth="1"/>
    <col min="15875" max="15875" width="10.5" style="40" customWidth="1"/>
    <col min="15876" max="15876" width="12.125" style="40" customWidth="1"/>
    <col min="15877" max="16125" width="10" style="40"/>
    <col min="16126" max="16126" width="20" style="40" customWidth="1"/>
    <col min="16127" max="16127" width="7.375" style="40" customWidth="1"/>
    <col min="16128" max="16128" width="10.5" style="40" customWidth="1"/>
    <col min="16129" max="16129" width="34.2583333333333" style="40" customWidth="1"/>
    <col min="16130" max="16130" width="6.875" style="40" customWidth="1"/>
    <col min="16131" max="16131" width="10.5" style="40" customWidth="1"/>
    <col min="16132" max="16132" width="12.125" style="40" customWidth="1"/>
    <col min="16133" max="16384" width="10" style="40"/>
  </cols>
  <sheetData>
    <row r="1" customHeight="1" spans="1:5">
      <c r="A1" s="30" t="s">
        <v>0</v>
      </c>
      <c r="B1" s="39" t="s">
        <v>1</v>
      </c>
      <c r="C1" s="39" t="s">
        <v>2</v>
      </c>
      <c r="D1" s="39" t="s">
        <v>3</v>
      </c>
      <c r="E1" s="40" t="s">
        <v>4</v>
      </c>
    </row>
    <row r="2" customHeight="1" spans="1:5">
      <c r="A2" s="40" t="s">
        <v>5</v>
      </c>
      <c r="B2" s="70">
        <v>20181195</v>
      </c>
      <c r="C2" s="83" t="s">
        <v>6</v>
      </c>
      <c r="D2" s="70" t="s">
        <v>7</v>
      </c>
      <c r="E2" s="40">
        <v>1</v>
      </c>
    </row>
    <row r="3" customHeight="1" spans="1:5">
      <c r="A3" s="40" t="s">
        <v>5</v>
      </c>
      <c r="B3" s="70">
        <v>20181196</v>
      </c>
      <c r="C3" s="83" t="s">
        <v>6</v>
      </c>
      <c r="D3" s="70" t="s">
        <v>7</v>
      </c>
      <c r="E3" s="40">
        <v>1</v>
      </c>
    </row>
    <row r="4" customHeight="1" spans="1:5">
      <c r="A4" s="40" t="s">
        <v>5</v>
      </c>
      <c r="B4" s="70">
        <v>20181197</v>
      </c>
      <c r="C4" s="83" t="s">
        <v>8</v>
      </c>
      <c r="D4" s="70" t="s">
        <v>7</v>
      </c>
      <c r="E4" s="40">
        <v>1</v>
      </c>
    </row>
    <row r="5" customHeight="1" spans="1:5">
      <c r="A5" s="40" t="s">
        <v>5</v>
      </c>
      <c r="B5" s="70">
        <v>20181198</v>
      </c>
      <c r="C5" s="83" t="s">
        <v>8</v>
      </c>
      <c r="D5" s="70" t="s">
        <v>7</v>
      </c>
      <c r="E5" s="40">
        <v>1</v>
      </c>
    </row>
    <row r="6" customHeight="1" spans="1:5">
      <c r="A6" s="40" t="s">
        <v>5</v>
      </c>
      <c r="B6" s="70">
        <v>20181211</v>
      </c>
      <c r="C6" s="83" t="s">
        <v>9</v>
      </c>
      <c r="D6" s="70" t="s">
        <v>7</v>
      </c>
      <c r="E6" s="40">
        <v>1</v>
      </c>
    </row>
    <row r="7" customHeight="1" spans="1:5">
      <c r="A7" s="40" t="s">
        <v>5</v>
      </c>
      <c r="B7" s="70">
        <v>20181212</v>
      </c>
      <c r="C7" s="83" t="s">
        <v>9</v>
      </c>
      <c r="D7" s="70" t="s">
        <v>7</v>
      </c>
      <c r="E7" s="40">
        <v>1</v>
      </c>
    </row>
    <row r="8" customHeight="1" spans="1:5">
      <c r="A8" s="40" t="s">
        <v>5</v>
      </c>
      <c r="B8" s="70">
        <v>20181213</v>
      </c>
      <c r="C8" s="83" t="s">
        <v>9</v>
      </c>
      <c r="D8" s="70" t="s">
        <v>7</v>
      </c>
      <c r="E8" s="40">
        <v>1</v>
      </c>
    </row>
    <row r="9" customHeight="1" spans="1:5">
      <c r="A9" s="40" t="s">
        <v>5</v>
      </c>
      <c r="B9" s="70">
        <v>20181214</v>
      </c>
      <c r="C9" s="83" t="s">
        <v>9</v>
      </c>
      <c r="D9" s="70" t="s">
        <v>7</v>
      </c>
      <c r="E9" s="40">
        <v>1</v>
      </c>
    </row>
    <row r="10" customHeight="1" spans="1:5">
      <c r="A10" s="40" t="s">
        <v>5</v>
      </c>
      <c r="B10" s="70">
        <v>20181215</v>
      </c>
      <c r="C10" s="83" t="s">
        <v>9</v>
      </c>
      <c r="D10" s="70" t="s">
        <v>7</v>
      </c>
      <c r="E10" s="40">
        <v>1</v>
      </c>
    </row>
    <row r="11" customHeight="1" spans="1:5">
      <c r="A11" s="40" t="s">
        <v>5</v>
      </c>
      <c r="B11" s="70">
        <v>20181216</v>
      </c>
      <c r="C11" s="83" t="s">
        <v>9</v>
      </c>
      <c r="D11" s="70" t="s">
        <v>7</v>
      </c>
      <c r="E11" s="40">
        <v>1</v>
      </c>
    </row>
    <row r="12" customHeight="1" spans="1:5">
      <c r="A12" s="40" t="s">
        <v>5</v>
      </c>
      <c r="B12" s="70">
        <v>20181217</v>
      </c>
      <c r="C12" s="83" t="s">
        <v>9</v>
      </c>
      <c r="D12" s="70" t="s">
        <v>7</v>
      </c>
      <c r="E12" s="40">
        <v>1</v>
      </c>
    </row>
    <row r="13" customHeight="1" spans="1:5">
      <c r="A13" s="40" t="s">
        <v>5</v>
      </c>
      <c r="B13" s="70">
        <v>20181218</v>
      </c>
      <c r="C13" s="83" t="s">
        <v>9</v>
      </c>
      <c r="D13" s="70" t="s">
        <v>7</v>
      </c>
      <c r="E13" s="40">
        <v>1</v>
      </c>
    </row>
    <row r="14" customHeight="1" spans="1:5">
      <c r="A14" s="40" t="s">
        <v>5</v>
      </c>
      <c r="B14" s="70">
        <v>20220110</v>
      </c>
      <c r="C14" s="83" t="s">
        <v>10</v>
      </c>
      <c r="D14" s="70" t="s">
        <v>7</v>
      </c>
      <c r="E14" s="40">
        <v>1</v>
      </c>
    </row>
    <row r="15" customHeight="1" spans="1:5">
      <c r="A15" s="40" t="s">
        <v>5</v>
      </c>
      <c r="B15" s="70">
        <v>20220111</v>
      </c>
      <c r="C15" s="83" t="s">
        <v>10</v>
      </c>
      <c r="D15" s="70" t="s">
        <v>7</v>
      </c>
      <c r="E15" s="40">
        <v>1</v>
      </c>
    </row>
    <row r="16" customHeight="1" spans="1:5">
      <c r="A16" s="40" t="s">
        <v>5</v>
      </c>
      <c r="B16" s="70">
        <v>20220120</v>
      </c>
      <c r="C16" s="83" t="s">
        <v>11</v>
      </c>
      <c r="D16" s="70" t="s">
        <v>7</v>
      </c>
      <c r="E16" s="40">
        <v>1</v>
      </c>
    </row>
    <row r="17" customHeight="1" spans="1:5">
      <c r="A17" s="40" t="s">
        <v>5</v>
      </c>
      <c r="B17" s="70">
        <v>20221419</v>
      </c>
      <c r="C17" s="83" t="s">
        <v>12</v>
      </c>
      <c r="D17" s="70" t="s">
        <v>7</v>
      </c>
      <c r="E17" s="40">
        <v>1</v>
      </c>
    </row>
    <row r="18" customHeight="1" spans="1:5">
      <c r="A18" s="40" t="s">
        <v>5</v>
      </c>
      <c r="B18" s="70">
        <v>20221420</v>
      </c>
      <c r="C18" s="83" t="s">
        <v>13</v>
      </c>
      <c r="D18" s="70" t="s">
        <v>7</v>
      </c>
      <c r="E18" s="40">
        <v>1</v>
      </c>
    </row>
    <row r="19" customHeight="1" spans="1:5">
      <c r="A19" s="40" t="s">
        <v>5</v>
      </c>
      <c r="B19" s="70">
        <v>20221421</v>
      </c>
      <c r="C19" s="83" t="s">
        <v>14</v>
      </c>
      <c r="D19" s="70" t="s">
        <v>7</v>
      </c>
      <c r="E19" s="40">
        <v>1</v>
      </c>
    </row>
    <row r="20" customHeight="1" spans="1:5">
      <c r="A20" s="40" t="s">
        <v>5</v>
      </c>
      <c r="B20" s="70">
        <v>20221422</v>
      </c>
      <c r="C20" s="83" t="s">
        <v>15</v>
      </c>
      <c r="D20" s="70" t="s">
        <v>7</v>
      </c>
      <c r="E20" s="40">
        <v>1</v>
      </c>
    </row>
    <row r="21" customHeight="1" spans="1:5">
      <c r="A21" s="40" t="s">
        <v>5</v>
      </c>
      <c r="B21" s="70">
        <v>20221423</v>
      </c>
      <c r="C21" s="83" t="s">
        <v>16</v>
      </c>
      <c r="D21" s="70" t="s">
        <v>7</v>
      </c>
      <c r="E21" s="40">
        <v>1</v>
      </c>
    </row>
    <row r="22" customHeight="1" spans="1:5">
      <c r="A22" s="40" t="s">
        <v>5</v>
      </c>
      <c r="B22" s="70">
        <v>20221424</v>
      </c>
      <c r="C22" s="83" t="s">
        <v>17</v>
      </c>
      <c r="D22" s="70" t="s">
        <v>7</v>
      </c>
      <c r="E22" s="40">
        <v>1</v>
      </c>
    </row>
    <row r="23" customHeight="1" spans="1:5">
      <c r="A23" s="40" t="s">
        <v>5</v>
      </c>
      <c r="B23" s="70">
        <v>20221425</v>
      </c>
      <c r="C23" s="83" t="s">
        <v>17</v>
      </c>
      <c r="D23" s="70" t="s">
        <v>7</v>
      </c>
      <c r="E23" s="40">
        <v>1</v>
      </c>
    </row>
    <row r="24" customHeight="1" spans="1:5">
      <c r="A24" s="40" t="s">
        <v>5</v>
      </c>
      <c r="B24" s="70">
        <v>20221426</v>
      </c>
      <c r="C24" s="83" t="s">
        <v>18</v>
      </c>
      <c r="D24" s="70" t="s">
        <v>7</v>
      </c>
      <c r="E24" s="40">
        <v>1</v>
      </c>
    </row>
    <row r="25" customHeight="1" spans="1:5">
      <c r="A25" s="40" t="s">
        <v>5</v>
      </c>
      <c r="B25" s="70">
        <v>20221427</v>
      </c>
      <c r="C25" s="83" t="s">
        <v>18</v>
      </c>
      <c r="D25" s="70" t="s">
        <v>7</v>
      </c>
      <c r="E25" s="40">
        <v>1</v>
      </c>
    </row>
    <row r="26" customHeight="1" spans="1:5">
      <c r="A26" s="40" t="s">
        <v>5</v>
      </c>
      <c r="B26" s="70">
        <v>20221428</v>
      </c>
      <c r="C26" s="83" t="s">
        <v>19</v>
      </c>
      <c r="D26" s="70" t="s">
        <v>7</v>
      </c>
      <c r="E26" s="40">
        <v>1</v>
      </c>
    </row>
    <row r="27" customHeight="1" spans="1:5">
      <c r="A27" s="40" t="s">
        <v>5</v>
      </c>
      <c r="B27" s="70">
        <v>20221429</v>
      </c>
      <c r="C27" s="83" t="s">
        <v>20</v>
      </c>
      <c r="D27" s="70" t="s">
        <v>7</v>
      </c>
      <c r="E27" s="40">
        <v>1</v>
      </c>
    </row>
    <row r="28" customHeight="1" spans="1:5">
      <c r="A28" s="40" t="s">
        <v>5</v>
      </c>
      <c r="B28" s="70">
        <v>20221430</v>
      </c>
      <c r="C28" s="83" t="s">
        <v>21</v>
      </c>
      <c r="D28" s="70" t="s">
        <v>7</v>
      </c>
      <c r="E28" s="40">
        <v>1</v>
      </c>
    </row>
    <row r="29" customHeight="1" spans="1:5">
      <c r="A29" s="40" t="s">
        <v>5</v>
      </c>
      <c r="B29" s="70">
        <v>20221431</v>
      </c>
      <c r="C29" s="83" t="s">
        <v>22</v>
      </c>
      <c r="D29" s="70" t="s">
        <v>7</v>
      </c>
      <c r="E29" s="40">
        <v>1</v>
      </c>
    </row>
    <row r="30" customHeight="1" spans="1:5">
      <c r="A30" s="40" t="s">
        <v>5</v>
      </c>
      <c r="B30" s="70">
        <v>20221432</v>
      </c>
      <c r="C30" s="83" t="s">
        <v>22</v>
      </c>
      <c r="D30" s="70" t="s">
        <v>7</v>
      </c>
      <c r="E30" s="40">
        <v>1</v>
      </c>
    </row>
    <row r="31" customHeight="1" spans="1:5">
      <c r="A31" s="40" t="s">
        <v>5</v>
      </c>
      <c r="B31" s="70">
        <v>20221433</v>
      </c>
      <c r="C31" s="83" t="s">
        <v>23</v>
      </c>
      <c r="D31" s="70" t="s">
        <v>7</v>
      </c>
      <c r="E31" s="40">
        <v>1</v>
      </c>
    </row>
    <row r="32" customHeight="1" spans="1:5">
      <c r="A32" s="40" t="s">
        <v>5</v>
      </c>
      <c r="B32" s="70">
        <v>20221434</v>
      </c>
      <c r="C32" s="83" t="s">
        <v>23</v>
      </c>
      <c r="D32" s="70" t="s">
        <v>7</v>
      </c>
      <c r="E32" s="40">
        <v>1</v>
      </c>
    </row>
    <row r="33" customHeight="1" spans="1:5">
      <c r="A33" s="40" t="s">
        <v>5</v>
      </c>
      <c r="B33" s="70">
        <v>20090552</v>
      </c>
      <c r="C33" s="83" t="s">
        <v>24</v>
      </c>
      <c r="D33" s="70" t="s">
        <v>7</v>
      </c>
      <c r="E33" s="40">
        <v>1</v>
      </c>
    </row>
    <row r="34" customHeight="1" spans="1:5">
      <c r="A34" s="40" t="s">
        <v>5</v>
      </c>
      <c r="B34" s="70">
        <v>20090721</v>
      </c>
      <c r="C34" s="83" t="s">
        <v>25</v>
      </c>
      <c r="D34" s="70" t="s">
        <v>7</v>
      </c>
      <c r="E34" s="40">
        <v>1</v>
      </c>
    </row>
    <row r="35" customHeight="1" spans="1:5">
      <c r="A35" s="40" t="s">
        <v>5</v>
      </c>
      <c r="B35" s="70">
        <v>20090722</v>
      </c>
      <c r="C35" s="83" t="s">
        <v>26</v>
      </c>
      <c r="D35" s="70" t="s">
        <v>7</v>
      </c>
      <c r="E35" s="40">
        <v>1</v>
      </c>
    </row>
    <row r="36" customHeight="1" spans="1:5">
      <c r="A36" s="40" t="s">
        <v>5</v>
      </c>
      <c r="B36" s="70">
        <v>20090723</v>
      </c>
      <c r="C36" s="83" t="s">
        <v>27</v>
      </c>
      <c r="D36" s="70" t="s">
        <v>7</v>
      </c>
      <c r="E36" s="40">
        <v>1</v>
      </c>
    </row>
    <row r="37" customHeight="1" spans="1:5">
      <c r="A37" s="40" t="s">
        <v>5</v>
      </c>
      <c r="B37" s="70">
        <v>20090724</v>
      </c>
      <c r="C37" s="83" t="s">
        <v>27</v>
      </c>
      <c r="D37" s="70" t="s">
        <v>7</v>
      </c>
      <c r="E37" s="40">
        <v>1</v>
      </c>
    </row>
    <row r="38" customHeight="1" spans="1:5">
      <c r="A38" s="40" t="s">
        <v>5</v>
      </c>
      <c r="B38" s="70">
        <v>20190805</v>
      </c>
      <c r="C38" s="83" t="s">
        <v>24</v>
      </c>
      <c r="D38" s="70" t="s">
        <v>7</v>
      </c>
      <c r="E38" s="40">
        <v>1</v>
      </c>
    </row>
    <row r="39" customHeight="1" spans="1:5">
      <c r="A39" s="40" t="s">
        <v>5</v>
      </c>
      <c r="B39" s="70">
        <v>20090736</v>
      </c>
      <c r="C39" s="83" t="s">
        <v>28</v>
      </c>
      <c r="D39" s="70" t="s">
        <v>7</v>
      </c>
      <c r="E39" s="40">
        <v>1</v>
      </c>
    </row>
    <row r="40" customHeight="1" spans="1:5">
      <c r="A40" s="40" t="s">
        <v>5</v>
      </c>
      <c r="B40" s="70">
        <v>20221054</v>
      </c>
      <c r="C40" s="83" t="s">
        <v>29</v>
      </c>
      <c r="D40" s="70" t="s">
        <v>7</v>
      </c>
      <c r="E40" s="40">
        <v>1</v>
      </c>
    </row>
    <row r="41" customHeight="1" spans="1:5">
      <c r="A41" s="40" t="s">
        <v>5</v>
      </c>
      <c r="B41" s="70">
        <v>20230346</v>
      </c>
      <c r="C41" s="83" t="s">
        <v>30</v>
      </c>
      <c r="D41" s="70" t="s">
        <v>7</v>
      </c>
      <c r="E41" s="40">
        <v>1</v>
      </c>
    </row>
    <row r="42" customHeight="1" spans="1:5">
      <c r="A42" s="40" t="s">
        <v>5</v>
      </c>
      <c r="B42" s="70">
        <v>20230347</v>
      </c>
      <c r="C42" s="83" t="s">
        <v>30</v>
      </c>
      <c r="D42" s="70" t="s">
        <v>7</v>
      </c>
      <c r="E42" s="40">
        <v>1</v>
      </c>
    </row>
    <row r="43" customHeight="1" spans="1:5">
      <c r="A43" s="40" t="s">
        <v>5</v>
      </c>
      <c r="B43" s="70">
        <v>20230348</v>
      </c>
      <c r="C43" s="83" t="s">
        <v>30</v>
      </c>
      <c r="D43" s="70" t="s">
        <v>7</v>
      </c>
      <c r="E43" s="40">
        <v>1</v>
      </c>
    </row>
    <row r="44" customHeight="1" spans="1:5">
      <c r="A44" s="40" t="s">
        <v>5</v>
      </c>
      <c r="B44" s="70">
        <v>20230349</v>
      </c>
      <c r="C44" s="83" t="s">
        <v>31</v>
      </c>
      <c r="D44" s="70" t="s">
        <v>7</v>
      </c>
      <c r="E44" s="40">
        <v>1</v>
      </c>
    </row>
    <row r="45" customHeight="1" spans="1:5">
      <c r="A45" s="40" t="s">
        <v>5</v>
      </c>
      <c r="B45" s="70">
        <v>20230350</v>
      </c>
      <c r="C45" s="83" t="s">
        <v>31</v>
      </c>
      <c r="D45" s="70" t="s">
        <v>7</v>
      </c>
      <c r="E45" s="40">
        <v>1</v>
      </c>
    </row>
    <row r="46" customHeight="1" spans="1:5">
      <c r="A46" s="40" t="s">
        <v>5</v>
      </c>
      <c r="B46" s="70">
        <v>20230351</v>
      </c>
      <c r="C46" s="83" t="s">
        <v>31</v>
      </c>
      <c r="D46" s="70" t="s">
        <v>7</v>
      </c>
      <c r="E46" s="40">
        <v>1</v>
      </c>
    </row>
    <row r="47" customHeight="1" spans="1:5">
      <c r="A47" s="40" t="s">
        <v>5</v>
      </c>
      <c r="B47" s="70">
        <v>20230352</v>
      </c>
      <c r="C47" s="83" t="s">
        <v>32</v>
      </c>
      <c r="D47" s="70" t="s">
        <v>7</v>
      </c>
      <c r="E47" s="40">
        <v>1</v>
      </c>
    </row>
    <row r="48" customHeight="1" spans="1:5">
      <c r="A48" s="40" t="s">
        <v>5</v>
      </c>
      <c r="B48" s="70">
        <v>20170684</v>
      </c>
      <c r="C48" s="83" t="s">
        <v>33</v>
      </c>
      <c r="D48" s="70" t="s">
        <v>34</v>
      </c>
      <c r="E48" s="40">
        <v>1</v>
      </c>
    </row>
    <row r="49" customHeight="1" spans="1:5">
      <c r="A49" s="40" t="s">
        <v>5</v>
      </c>
      <c r="B49" s="70">
        <v>20171655</v>
      </c>
      <c r="C49" s="83" t="s">
        <v>35</v>
      </c>
      <c r="D49" s="70" t="s">
        <v>7</v>
      </c>
      <c r="E49" s="40">
        <v>1</v>
      </c>
    </row>
    <row r="50" customHeight="1" spans="1:5">
      <c r="A50" s="40" t="s">
        <v>5</v>
      </c>
      <c r="B50" s="70">
        <v>20171750</v>
      </c>
      <c r="C50" s="83" t="s">
        <v>36</v>
      </c>
      <c r="D50" s="70" t="s">
        <v>34</v>
      </c>
      <c r="E50" s="40">
        <v>1</v>
      </c>
    </row>
    <row r="51" customHeight="1" spans="1:5">
      <c r="A51" s="40" t="s">
        <v>5</v>
      </c>
      <c r="B51" s="70">
        <v>20171751</v>
      </c>
      <c r="C51" s="83" t="s">
        <v>37</v>
      </c>
      <c r="D51" s="70" t="s">
        <v>34</v>
      </c>
      <c r="E51" s="40">
        <v>1</v>
      </c>
    </row>
    <row r="52" customHeight="1" spans="1:5">
      <c r="A52" s="40" t="s">
        <v>5</v>
      </c>
      <c r="B52" s="70">
        <v>20160255</v>
      </c>
      <c r="C52" s="83" t="s">
        <v>38</v>
      </c>
      <c r="D52" s="70" t="s">
        <v>7</v>
      </c>
      <c r="E52" s="40">
        <v>1</v>
      </c>
    </row>
    <row r="53" customHeight="1" spans="1:5">
      <c r="A53" s="40" t="s">
        <v>5</v>
      </c>
      <c r="B53" s="70">
        <v>20160570</v>
      </c>
      <c r="C53" s="83" t="s">
        <v>39</v>
      </c>
      <c r="D53" s="70" t="s">
        <v>7</v>
      </c>
      <c r="E53" s="40">
        <v>1</v>
      </c>
    </row>
    <row r="54" customHeight="1" spans="1:5">
      <c r="A54" s="40" t="s">
        <v>5</v>
      </c>
      <c r="B54" s="70">
        <v>20220383</v>
      </c>
      <c r="C54" s="83" t="s">
        <v>40</v>
      </c>
      <c r="D54" s="70" t="s">
        <v>7</v>
      </c>
      <c r="E54" s="40">
        <v>1</v>
      </c>
    </row>
    <row r="55" customHeight="1" spans="1:5">
      <c r="A55" s="40" t="s">
        <v>5</v>
      </c>
      <c r="B55" s="70">
        <v>20220792</v>
      </c>
      <c r="C55" s="83" t="s">
        <v>41</v>
      </c>
      <c r="D55" s="70" t="s">
        <v>7</v>
      </c>
      <c r="E55" s="40">
        <v>1</v>
      </c>
    </row>
    <row r="56" customHeight="1" spans="1:5">
      <c r="A56" s="40" t="s">
        <v>5</v>
      </c>
      <c r="B56" s="70">
        <v>20220793</v>
      </c>
      <c r="C56" s="83" t="s">
        <v>42</v>
      </c>
      <c r="D56" s="70" t="s">
        <v>7</v>
      </c>
      <c r="E56" s="40">
        <v>1</v>
      </c>
    </row>
    <row r="57" customHeight="1" spans="1:5">
      <c r="A57" s="40" t="s">
        <v>5</v>
      </c>
      <c r="B57" s="70">
        <v>20220794</v>
      </c>
      <c r="C57" s="83" t="s">
        <v>42</v>
      </c>
      <c r="D57" s="70" t="s">
        <v>7</v>
      </c>
      <c r="E57" s="40">
        <v>1</v>
      </c>
    </row>
    <row r="58" customHeight="1" spans="1:5">
      <c r="A58" s="40" t="s">
        <v>5</v>
      </c>
      <c r="B58" s="70">
        <v>20220795</v>
      </c>
      <c r="C58" s="83" t="s">
        <v>42</v>
      </c>
      <c r="D58" s="70" t="s">
        <v>7</v>
      </c>
      <c r="E58" s="40">
        <v>1</v>
      </c>
    </row>
    <row r="59" customHeight="1" spans="1:5">
      <c r="A59" s="40" t="s">
        <v>5</v>
      </c>
      <c r="B59" s="70">
        <v>20220796</v>
      </c>
      <c r="C59" s="83" t="s">
        <v>42</v>
      </c>
      <c r="D59" s="70" t="s">
        <v>7</v>
      </c>
      <c r="E59" s="40">
        <v>1</v>
      </c>
    </row>
    <row r="60" customHeight="1" spans="1:5">
      <c r="A60" s="40" t="s">
        <v>5</v>
      </c>
      <c r="B60" s="70">
        <v>20220797</v>
      </c>
      <c r="C60" s="83" t="s">
        <v>42</v>
      </c>
      <c r="D60" s="70" t="s">
        <v>7</v>
      </c>
      <c r="E60" s="40">
        <v>1</v>
      </c>
    </row>
    <row r="61" customHeight="1" spans="1:5">
      <c r="A61" s="40" t="s">
        <v>5</v>
      </c>
      <c r="B61" s="70">
        <v>20220798</v>
      </c>
      <c r="C61" s="83" t="s">
        <v>42</v>
      </c>
      <c r="D61" s="70" t="s">
        <v>7</v>
      </c>
      <c r="E61" s="40">
        <v>1</v>
      </c>
    </row>
    <row r="62" customHeight="1" spans="1:5">
      <c r="A62" s="40" t="s">
        <v>5</v>
      </c>
      <c r="B62" s="70">
        <v>20220799</v>
      </c>
      <c r="C62" s="83" t="s">
        <v>42</v>
      </c>
      <c r="D62" s="70" t="s">
        <v>7</v>
      </c>
      <c r="E62" s="40">
        <v>1</v>
      </c>
    </row>
    <row r="63" customHeight="1" spans="1:5">
      <c r="A63" s="40" t="s">
        <v>5</v>
      </c>
      <c r="B63" s="70">
        <v>20220800</v>
      </c>
      <c r="C63" s="83" t="s">
        <v>42</v>
      </c>
      <c r="D63" s="70" t="s">
        <v>7</v>
      </c>
      <c r="E63" s="40">
        <v>1</v>
      </c>
    </row>
    <row r="64" customHeight="1" spans="1:5">
      <c r="A64" s="40" t="s">
        <v>5</v>
      </c>
      <c r="B64" s="70">
        <v>20220801</v>
      </c>
      <c r="C64" s="83" t="s">
        <v>42</v>
      </c>
      <c r="D64" s="70" t="s">
        <v>7</v>
      </c>
      <c r="E64" s="40">
        <v>1</v>
      </c>
    </row>
    <row r="65" customHeight="1" spans="1:5">
      <c r="A65" s="40" t="s">
        <v>5</v>
      </c>
      <c r="B65" s="70">
        <v>20220802</v>
      </c>
      <c r="C65" s="83" t="s">
        <v>42</v>
      </c>
      <c r="D65" s="70" t="s">
        <v>7</v>
      </c>
      <c r="E65" s="40">
        <v>1</v>
      </c>
    </row>
    <row r="66" customHeight="1" spans="1:5">
      <c r="A66" s="40" t="s">
        <v>5</v>
      </c>
      <c r="B66" s="70">
        <v>20220803</v>
      </c>
      <c r="C66" s="83" t="s">
        <v>43</v>
      </c>
      <c r="D66" s="70" t="s">
        <v>7</v>
      </c>
      <c r="E66" s="40">
        <v>1</v>
      </c>
    </row>
    <row r="67" customHeight="1" spans="1:5">
      <c r="A67" s="40" t="s">
        <v>5</v>
      </c>
      <c r="B67" s="70">
        <v>20220804</v>
      </c>
      <c r="C67" s="83" t="s">
        <v>43</v>
      </c>
      <c r="D67" s="70" t="s">
        <v>7</v>
      </c>
      <c r="E67" s="40">
        <v>1</v>
      </c>
    </row>
    <row r="68" customHeight="1" spans="1:5">
      <c r="A68" s="40" t="s">
        <v>5</v>
      </c>
      <c r="B68" s="70">
        <v>20220805</v>
      </c>
      <c r="C68" s="83" t="s">
        <v>43</v>
      </c>
      <c r="D68" s="70" t="s">
        <v>7</v>
      </c>
      <c r="E68" s="40">
        <v>1</v>
      </c>
    </row>
    <row r="69" customHeight="1" spans="1:5">
      <c r="A69" s="40" t="s">
        <v>5</v>
      </c>
      <c r="B69" s="70">
        <v>20220806</v>
      </c>
      <c r="C69" s="83" t="s">
        <v>43</v>
      </c>
      <c r="D69" s="70" t="s">
        <v>7</v>
      </c>
      <c r="E69" s="40">
        <v>1</v>
      </c>
    </row>
    <row r="70" customHeight="1" spans="1:5">
      <c r="A70" s="40" t="s">
        <v>5</v>
      </c>
      <c r="B70" s="70">
        <v>20220807</v>
      </c>
      <c r="C70" s="83" t="s">
        <v>43</v>
      </c>
      <c r="D70" s="70" t="s">
        <v>7</v>
      </c>
      <c r="E70" s="40">
        <v>1</v>
      </c>
    </row>
    <row r="71" customHeight="1" spans="1:5">
      <c r="A71" s="40" t="s">
        <v>5</v>
      </c>
      <c r="B71" s="70">
        <v>20220808</v>
      </c>
      <c r="C71" s="83" t="s">
        <v>43</v>
      </c>
      <c r="D71" s="70" t="s">
        <v>7</v>
      </c>
      <c r="E71" s="40">
        <v>1</v>
      </c>
    </row>
    <row r="72" customHeight="1" spans="1:5">
      <c r="A72" s="40" t="s">
        <v>5</v>
      </c>
      <c r="B72" s="70">
        <v>20220809</v>
      </c>
      <c r="C72" s="83" t="s">
        <v>43</v>
      </c>
      <c r="D72" s="70" t="s">
        <v>7</v>
      </c>
      <c r="E72" s="40">
        <v>1</v>
      </c>
    </row>
    <row r="73" customHeight="1" spans="1:5">
      <c r="A73" s="40" t="s">
        <v>5</v>
      </c>
      <c r="B73" s="70">
        <v>20220810</v>
      </c>
      <c r="C73" s="83" t="s">
        <v>43</v>
      </c>
      <c r="D73" s="70" t="s">
        <v>7</v>
      </c>
      <c r="E73" s="40">
        <v>1</v>
      </c>
    </row>
    <row r="74" customHeight="1" spans="1:5">
      <c r="A74" s="40" t="s">
        <v>5</v>
      </c>
      <c r="B74" s="70">
        <v>20220811</v>
      </c>
      <c r="C74" s="83" t="s">
        <v>43</v>
      </c>
      <c r="D74" s="70" t="s">
        <v>7</v>
      </c>
      <c r="E74" s="40">
        <v>1</v>
      </c>
    </row>
    <row r="75" customHeight="1" spans="1:5">
      <c r="A75" s="40" t="s">
        <v>5</v>
      </c>
      <c r="B75" s="70">
        <v>20220812</v>
      </c>
      <c r="C75" s="83" t="s">
        <v>43</v>
      </c>
      <c r="D75" s="70" t="s">
        <v>7</v>
      </c>
      <c r="E75" s="40">
        <v>1</v>
      </c>
    </row>
    <row r="76" customHeight="1" spans="1:5">
      <c r="A76" s="40" t="s">
        <v>5</v>
      </c>
      <c r="B76" s="39">
        <v>20140524</v>
      </c>
      <c r="C76" s="69" t="s">
        <v>44</v>
      </c>
      <c r="D76" s="39" t="s">
        <v>7</v>
      </c>
      <c r="E76" s="40">
        <v>1</v>
      </c>
    </row>
    <row r="77" customHeight="1" spans="1:5">
      <c r="A77" s="40" t="s">
        <v>5</v>
      </c>
      <c r="B77" s="39">
        <v>20171749</v>
      </c>
      <c r="C77" s="69" t="s">
        <v>45</v>
      </c>
      <c r="D77" s="39" t="s">
        <v>7</v>
      </c>
      <c r="E77" s="40">
        <v>1</v>
      </c>
    </row>
    <row r="78" customHeight="1" spans="1:5">
      <c r="A78" s="40" t="s">
        <v>5</v>
      </c>
      <c r="B78" s="39">
        <v>20170680</v>
      </c>
      <c r="C78" s="69" t="s">
        <v>46</v>
      </c>
      <c r="D78" s="39" t="s">
        <v>7</v>
      </c>
      <c r="E78" s="40">
        <v>1</v>
      </c>
    </row>
    <row r="79" customHeight="1" spans="1:5">
      <c r="A79" s="40" t="s">
        <v>5</v>
      </c>
      <c r="B79" s="39">
        <v>20170679</v>
      </c>
      <c r="C79" s="69" t="s">
        <v>47</v>
      </c>
      <c r="D79" s="39" t="s">
        <v>7</v>
      </c>
      <c r="E79" s="40">
        <v>1</v>
      </c>
    </row>
    <row r="80" customHeight="1" spans="1:5">
      <c r="A80" s="40" t="s">
        <v>5</v>
      </c>
      <c r="B80" s="39">
        <v>20170681</v>
      </c>
      <c r="C80" s="69" t="s">
        <v>48</v>
      </c>
      <c r="D80" s="39" t="s">
        <v>7</v>
      </c>
      <c r="E80" s="40">
        <v>1</v>
      </c>
    </row>
    <row r="81" customHeight="1" spans="1:5">
      <c r="A81" s="40" t="s">
        <v>5</v>
      </c>
      <c r="B81" s="70">
        <v>20140777</v>
      </c>
      <c r="C81" s="83" t="s">
        <v>49</v>
      </c>
      <c r="D81" s="70" t="s">
        <v>7</v>
      </c>
      <c r="E81" s="40">
        <v>1</v>
      </c>
    </row>
    <row r="82" customHeight="1" spans="1:5">
      <c r="A82" s="40" t="s">
        <v>5</v>
      </c>
      <c r="B82" s="70">
        <v>20181066</v>
      </c>
      <c r="C82" s="83" t="s">
        <v>50</v>
      </c>
      <c r="D82" s="70" t="s">
        <v>7</v>
      </c>
      <c r="E82" s="40">
        <v>1</v>
      </c>
    </row>
    <row r="83" customHeight="1" spans="1:5">
      <c r="A83" s="40" t="s">
        <v>5</v>
      </c>
      <c r="B83" s="70">
        <v>20200981</v>
      </c>
      <c r="C83" s="83" t="s">
        <v>51</v>
      </c>
      <c r="D83" s="70" t="s">
        <v>7</v>
      </c>
      <c r="E83" s="40">
        <v>1</v>
      </c>
    </row>
    <row r="84" customHeight="1" spans="1:5">
      <c r="A84" s="40" t="s">
        <v>5</v>
      </c>
      <c r="B84" s="70">
        <v>20200982</v>
      </c>
      <c r="C84" s="83" t="s">
        <v>52</v>
      </c>
      <c r="D84" s="70" t="s">
        <v>7</v>
      </c>
      <c r="E84" s="40">
        <v>1</v>
      </c>
    </row>
    <row r="85" customHeight="1" spans="1:5">
      <c r="A85" s="40" t="s">
        <v>5</v>
      </c>
      <c r="B85" s="70">
        <v>20200983</v>
      </c>
      <c r="C85" s="83" t="s">
        <v>52</v>
      </c>
      <c r="D85" s="70" t="s">
        <v>7</v>
      </c>
      <c r="E85" s="40">
        <v>1</v>
      </c>
    </row>
    <row r="86" customHeight="1" spans="1:5">
      <c r="A86" s="40" t="s">
        <v>5</v>
      </c>
      <c r="B86" s="70">
        <v>20200984</v>
      </c>
      <c r="C86" s="83" t="s">
        <v>53</v>
      </c>
      <c r="D86" s="70" t="s">
        <v>7</v>
      </c>
      <c r="E86" s="40">
        <v>1</v>
      </c>
    </row>
    <row r="87" customHeight="1" spans="1:5">
      <c r="A87" s="40" t="s">
        <v>5</v>
      </c>
      <c r="B87" s="70">
        <v>20200985</v>
      </c>
      <c r="C87" s="83" t="s">
        <v>54</v>
      </c>
      <c r="D87" s="70" t="s">
        <v>7</v>
      </c>
      <c r="E87" s="40">
        <v>1</v>
      </c>
    </row>
    <row r="88" customHeight="1" spans="1:5">
      <c r="A88" s="40" t="s">
        <v>5</v>
      </c>
      <c r="B88" s="70">
        <v>20200986</v>
      </c>
      <c r="C88" s="83" t="s">
        <v>55</v>
      </c>
      <c r="D88" s="70" t="s">
        <v>7</v>
      </c>
      <c r="E88" s="40">
        <v>1</v>
      </c>
    </row>
    <row r="89" customHeight="1" spans="1:5">
      <c r="A89" s="40" t="s">
        <v>5</v>
      </c>
      <c r="B89" s="70">
        <v>20200987</v>
      </c>
      <c r="C89" s="83" t="s">
        <v>56</v>
      </c>
      <c r="D89" s="70" t="s">
        <v>7</v>
      </c>
      <c r="E89" s="40">
        <v>1</v>
      </c>
    </row>
    <row r="90" customHeight="1" spans="1:5">
      <c r="A90" s="40" t="s">
        <v>5</v>
      </c>
      <c r="B90" s="70">
        <v>20200988</v>
      </c>
      <c r="C90" s="83" t="s">
        <v>57</v>
      </c>
      <c r="D90" s="70" t="s">
        <v>7</v>
      </c>
      <c r="E90" s="40">
        <v>1</v>
      </c>
    </row>
    <row r="91" customHeight="1" spans="1:5">
      <c r="A91" s="40" t="s">
        <v>5</v>
      </c>
      <c r="B91" s="70">
        <v>20200989</v>
      </c>
      <c r="C91" s="83" t="s">
        <v>58</v>
      </c>
      <c r="D91" s="70" t="s">
        <v>7</v>
      </c>
      <c r="E91" s="40">
        <v>1</v>
      </c>
    </row>
    <row r="92" customHeight="1" spans="1:5">
      <c r="A92" s="40" t="s">
        <v>5</v>
      </c>
      <c r="B92" s="70">
        <v>20200990</v>
      </c>
      <c r="C92" s="83" t="s">
        <v>59</v>
      </c>
      <c r="D92" s="70" t="s">
        <v>7</v>
      </c>
      <c r="E92" s="40">
        <v>1</v>
      </c>
    </row>
    <row r="93" customHeight="1" spans="1:5">
      <c r="A93" s="40" t="s">
        <v>5</v>
      </c>
      <c r="B93" s="70">
        <v>20200991</v>
      </c>
      <c r="C93" s="83" t="s">
        <v>60</v>
      </c>
      <c r="D93" s="70" t="s">
        <v>7</v>
      </c>
      <c r="E93" s="40">
        <v>1</v>
      </c>
    </row>
    <row r="94" customHeight="1" spans="1:5">
      <c r="A94" s="40" t="s">
        <v>5</v>
      </c>
      <c r="B94" s="70">
        <v>20200992</v>
      </c>
      <c r="C94" s="83" t="s">
        <v>61</v>
      </c>
      <c r="D94" s="70" t="s">
        <v>7</v>
      </c>
      <c r="E94" s="40">
        <v>1</v>
      </c>
    </row>
    <row r="95" customHeight="1" spans="1:5">
      <c r="A95" s="40" t="s">
        <v>5</v>
      </c>
      <c r="B95" s="70">
        <v>20200993</v>
      </c>
      <c r="C95" s="83" t="s">
        <v>62</v>
      </c>
      <c r="D95" s="70" t="s">
        <v>7</v>
      </c>
      <c r="E95" s="40">
        <v>1</v>
      </c>
    </row>
    <row r="96" customHeight="1" spans="1:5">
      <c r="A96" s="40" t="s">
        <v>5</v>
      </c>
      <c r="B96" s="70">
        <v>20200994</v>
      </c>
      <c r="C96" s="83" t="s">
        <v>63</v>
      </c>
      <c r="D96" s="70" t="s">
        <v>7</v>
      </c>
      <c r="E96" s="40">
        <v>1</v>
      </c>
    </row>
    <row r="97" customHeight="1" spans="1:5">
      <c r="A97" s="40" t="s">
        <v>5</v>
      </c>
      <c r="B97" s="70">
        <v>20200995</v>
      </c>
      <c r="C97" s="83" t="s">
        <v>64</v>
      </c>
      <c r="D97" s="70" t="s">
        <v>7</v>
      </c>
      <c r="E97" s="40">
        <v>1</v>
      </c>
    </row>
    <row r="98" customHeight="1" spans="1:5">
      <c r="A98" s="40" t="s">
        <v>5</v>
      </c>
      <c r="B98" s="70">
        <v>20200996</v>
      </c>
      <c r="C98" s="83" t="s">
        <v>65</v>
      </c>
      <c r="D98" s="70" t="s">
        <v>7</v>
      </c>
      <c r="E98" s="40">
        <v>1</v>
      </c>
    </row>
    <row r="99" customHeight="1" spans="1:5">
      <c r="A99" s="40" t="s">
        <v>5</v>
      </c>
      <c r="B99" s="70">
        <v>20200997</v>
      </c>
      <c r="C99" s="83" t="s">
        <v>66</v>
      </c>
      <c r="D99" s="70" t="s">
        <v>7</v>
      </c>
      <c r="E99" s="40">
        <v>1</v>
      </c>
    </row>
    <row r="100" customHeight="1" spans="1:5">
      <c r="A100" s="40" t="s">
        <v>5</v>
      </c>
      <c r="B100" s="70">
        <v>20200998</v>
      </c>
      <c r="C100" s="83" t="s">
        <v>66</v>
      </c>
      <c r="D100" s="70" t="s">
        <v>7</v>
      </c>
      <c r="E100" s="40">
        <v>1</v>
      </c>
    </row>
    <row r="101" customHeight="1" spans="1:5">
      <c r="A101" s="40" t="s">
        <v>5</v>
      </c>
      <c r="B101" s="70">
        <v>20200999</v>
      </c>
      <c r="C101" s="83" t="s">
        <v>67</v>
      </c>
      <c r="D101" s="70" t="s">
        <v>7</v>
      </c>
      <c r="E101" s="40">
        <v>1</v>
      </c>
    </row>
    <row r="102" customHeight="1" spans="1:5">
      <c r="A102" s="40" t="s">
        <v>5</v>
      </c>
      <c r="B102" s="70">
        <v>20201000</v>
      </c>
      <c r="C102" s="83" t="s">
        <v>67</v>
      </c>
      <c r="D102" s="70" t="s">
        <v>7</v>
      </c>
      <c r="E102" s="40">
        <v>1</v>
      </c>
    </row>
    <row r="103" customHeight="1" spans="1:5">
      <c r="A103" s="40" t="s">
        <v>5</v>
      </c>
      <c r="B103" s="70">
        <v>20201001</v>
      </c>
      <c r="C103" s="83" t="s">
        <v>68</v>
      </c>
      <c r="D103" s="70" t="s">
        <v>7</v>
      </c>
      <c r="E103" s="40">
        <v>1</v>
      </c>
    </row>
    <row r="104" customHeight="1" spans="1:5">
      <c r="A104" s="40" t="s">
        <v>5</v>
      </c>
      <c r="B104" s="70">
        <v>20201002</v>
      </c>
      <c r="C104" s="83" t="s">
        <v>68</v>
      </c>
      <c r="D104" s="70" t="s">
        <v>7</v>
      </c>
      <c r="E104" s="40">
        <v>1</v>
      </c>
    </row>
    <row r="105" customHeight="1" spans="1:5">
      <c r="A105" s="40" t="s">
        <v>5</v>
      </c>
      <c r="B105" s="70">
        <v>20201003</v>
      </c>
      <c r="C105" s="83" t="s">
        <v>69</v>
      </c>
      <c r="D105" s="70" t="s">
        <v>7</v>
      </c>
      <c r="E105" s="40">
        <v>1</v>
      </c>
    </row>
    <row r="106" customHeight="1" spans="1:5">
      <c r="A106" s="40" t="s">
        <v>5</v>
      </c>
      <c r="B106" s="70">
        <v>20201004</v>
      </c>
      <c r="C106" s="83" t="s">
        <v>70</v>
      </c>
      <c r="D106" s="70" t="s">
        <v>7</v>
      </c>
      <c r="E106" s="40">
        <v>1</v>
      </c>
    </row>
    <row r="107" customHeight="1" spans="1:5">
      <c r="A107" s="40" t="s">
        <v>5</v>
      </c>
      <c r="B107" s="70">
        <v>20201005</v>
      </c>
      <c r="C107" s="83" t="s">
        <v>70</v>
      </c>
      <c r="D107" s="70" t="s">
        <v>7</v>
      </c>
      <c r="E107" s="40">
        <v>1</v>
      </c>
    </row>
    <row r="108" customHeight="1" spans="1:5">
      <c r="A108" s="40" t="s">
        <v>5</v>
      </c>
      <c r="B108" s="70">
        <v>20201006</v>
      </c>
      <c r="C108" s="83" t="s">
        <v>70</v>
      </c>
      <c r="D108" s="70" t="s">
        <v>7</v>
      </c>
      <c r="E108" s="40">
        <v>1</v>
      </c>
    </row>
    <row r="109" customHeight="1" spans="1:5">
      <c r="A109" s="40" t="s">
        <v>5</v>
      </c>
      <c r="B109" s="70">
        <v>20201007</v>
      </c>
      <c r="C109" s="83" t="s">
        <v>70</v>
      </c>
      <c r="D109" s="70" t="s">
        <v>7</v>
      </c>
      <c r="E109" s="40">
        <v>1</v>
      </c>
    </row>
    <row r="110" customHeight="1" spans="1:5">
      <c r="A110" s="40" t="s">
        <v>5</v>
      </c>
      <c r="B110" s="70">
        <v>20201008</v>
      </c>
      <c r="C110" s="83" t="s">
        <v>71</v>
      </c>
      <c r="D110" s="70" t="s">
        <v>7</v>
      </c>
      <c r="E110" s="40">
        <v>1</v>
      </c>
    </row>
    <row r="111" customHeight="1" spans="1:5">
      <c r="A111" s="40" t="s">
        <v>5</v>
      </c>
      <c r="B111" s="70">
        <v>20201009</v>
      </c>
      <c r="C111" s="83" t="s">
        <v>71</v>
      </c>
      <c r="D111" s="70" t="s">
        <v>7</v>
      </c>
      <c r="E111" s="40">
        <v>1</v>
      </c>
    </row>
    <row r="112" customHeight="1" spans="1:5">
      <c r="A112" s="40" t="s">
        <v>5</v>
      </c>
      <c r="B112" s="70">
        <v>20201010</v>
      </c>
      <c r="C112" s="83" t="s">
        <v>72</v>
      </c>
      <c r="D112" s="70" t="s">
        <v>7</v>
      </c>
      <c r="E112" s="40">
        <v>1</v>
      </c>
    </row>
    <row r="113" customHeight="1" spans="1:5">
      <c r="A113" s="40" t="s">
        <v>5</v>
      </c>
      <c r="B113" s="70">
        <v>20201011</v>
      </c>
      <c r="C113" s="83" t="s">
        <v>73</v>
      </c>
      <c r="D113" s="70" t="s">
        <v>7</v>
      </c>
      <c r="E113" s="40">
        <v>1</v>
      </c>
    </row>
    <row r="114" customHeight="1" spans="1:5">
      <c r="A114" s="40" t="s">
        <v>5</v>
      </c>
      <c r="B114" s="70">
        <v>20221055</v>
      </c>
      <c r="C114" s="83" t="s">
        <v>74</v>
      </c>
      <c r="D114" s="70" t="s">
        <v>7</v>
      </c>
      <c r="E114" s="40">
        <v>1</v>
      </c>
    </row>
    <row r="115" customHeight="1" spans="1:5">
      <c r="A115" s="40" t="s">
        <v>5</v>
      </c>
      <c r="B115" s="70">
        <v>20221056</v>
      </c>
      <c r="C115" s="83" t="s">
        <v>74</v>
      </c>
      <c r="D115" s="70" t="s">
        <v>7</v>
      </c>
      <c r="E115" s="40">
        <v>1</v>
      </c>
    </row>
    <row r="116" customHeight="1" spans="1:5">
      <c r="A116" s="40" t="s">
        <v>5</v>
      </c>
      <c r="B116" s="70">
        <v>20221057</v>
      </c>
      <c r="C116" s="83" t="s">
        <v>75</v>
      </c>
      <c r="D116" s="70" t="s">
        <v>7</v>
      </c>
      <c r="E116" s="40">
        <v>1</v>
      </c>
    </row>
    <row r="117" customHeight="1" spans="1:5">
      <c r="A117" s="40" t="s">
        <v>5</v>
      </c>
      <c r="B117" s="70">
        <v>20240335</v>
      </c>
      <c r="C117" s="83" t="s">
        <v>76</v>
      </c>
      <c r="D117" s="70" t="s">
        <v>7</v>
      </c>
      <c r="E117" s="40">
        <v>1</v>
      </c>
    </row>
    <row r="118" customHeight="1" spans="1:5">
      <c r="A118" s="40" t="s">
        <v>5</v>
      </c>
      <c r="B118" s="70">
        <v>20240336</v>
      </c>
      <c r="C118" s="83" t="s">
        <v>76</v>
      </c>
      <c r="D118" s="70" t="s">
        <v>7</v>
      </c>
      <c r="E118" s="40">
        <v>1</v>
      </c>
    </row>
    <row r="119" customHeight="1" spans="1:5">
      <c r="A119" s="40" t="s">
        <v>5</v>
      </c>
      <c r="B119" s="70">
        <v>20240337</v>
      </c>
      <c r="C119" s="83" t="s">
        <v>76</v>
      </c>
      <c r="D119" s="70" t="s">
        <v>7</v>
      </c>
      <c r="E119" s="40">
        <v>1</v>
      </c>
    </row>
    <row r="120" customHeight="1" spans="1:5">
      <c r="A120" s="40" t="s">
        <v>5</v>
      </c>
      <c r="B120" s="70">
        <v>20240338</v>
      </c>
      <c r="C120" s="83" t="s">
        <v>76</v>
      </c>
      <c r="D120" s="70" t="s">
        <v>7</v>
      </c>
      <c r="E120" s="40">
        <v>1</v>
      </c>
    </row>
    <row r="121" customHeight="1" spans="1:5">
      <c r="A121" s="40" t="s">
        <v>5</v>
      </c>
      <c r="B121" s="70">
        <v>20240339</v>
      </c>
      <c r="C121" s="83" t="s">
        <v>76</v>
      </c>
      <c r="D121" s="70" t="s">
        <v>7</v>
      </c>
      <c r="E121" s="40">
        <v>1</v>
      </c>
    </row>
    <row r="122" customHeight="1" spans="1:5">
      <c r="A122" s="40" t="s">
        <v>5</v>
      </c>
      <c r="B122" s="70">
        <v>20240340</v>
      </c>
      <c r="C122" s="83" t="s">
        <v>76</v>
      </c>
      <c r="D122" s="70" t="s">
        <v>7</v>
      </c>
      <c r="E122" s="40">
        <v>1</v>
      </c>
    </row>
    <row r="123" customHeight="1" spans="1:5">
      <c r="A123" s="40" t="s">
        <v>5</v>
      </c>
      <c r="B123" s="70">
        <v>20201115</v>
      </c>
      <c r="C123" s="83" t="s">
        <v>77</v>
      </c>
      <c r="D123" s="70" t="s">
        <v>78</v>
      </c>
      <c r="E123" s="40">
        <v>1</v>
      </c>
    </row>
    <row r="124" customHeight="1" spans="1:5">
      <c r="A124" s="40" t="s">
        <v>5</v>
      </c>
      <c r="B124" s="70">
        <v>20210725</v>
      </c>
      <c r="C124" s="83" t="s">
        <v>79</v>
      </c>
      <c r="D124" s="70" t="s">
        <v>34</v>
      </c>
      <c r="E124" s="40">
        <v>1</v>
      </c>
    </row>
    <row r="125" customHeight="1" spans="1:5">
      <c r="A125" s="40" t="s">
        <v>5</v>
      </c>
      <c r="B125" s="70">
        <v>20220813</v>
      </c>
      <c r="C125" s="83" t="s">
        <v>80</v>
      </c>
      <c r="D125" s="70" t="s">
        <v>34</v>
      </c>
      <c r="E125" s="40">
        <v>1</v>
      </c>
    </row>
    <row r="126" customHeight="1" spans="1:5">
      <c r="A126" s="40" t="s">
        <v>5</v>
      </c>
      <c r="B126" s="70">
        <v>20220814</v>
      </c>
      <c r="C126" s="83" t="s">
        <v>81</v>
      </c>
      <c r="D126" s="70" t="s">
        <v>34</v>
      </c>
      <c r="E126" s="40">
        <v>1</v>
      </c>
    </row>
    <row r="127" customHeight="1" spans="1:5">
      <c r="A127" s="40" t="s">
        <v>5</v>
      </c>
      <c r="B127" s="70">
        <v>20220815</v>
      </c>
      <c r="C127" s="83" t="s">
        <v>82</v>
      </c>
      <c r="D127" s="70" t="s">
        <v>34</v>
      </c>
      <c r="E127" s="40">
        <v>1</v>
      </c>
    </row>
    <row r="128" customHeight="1" spans="1:5">
      <c r="A128" s="40" t="s">
        <v>5</v>
      </c>
      <c r="B128" s="70">
        <v>20220816</v>
      </c>
      <c r="C128" s="83" t="s">
        <v>83</v>
      </c>
      <c r="D128" s="70" t="s">
        <v>34</v>
      </c>
      <c r="E128" s="40">
        <v>1</v>
      </c>
    </row>
    <row r="129" customHeight="1" spans="1:5">
      <c r="A129" s="40" t="s">
        <v>5</v>
      </c>
      <c r="B129" s="70">
        <v>20160332</v>
      </c>
      <c r="C129" s="83" t="s">
        <v>84</v>
      </c>
      <c r="D129" s="70" t="s">
        <v>34</v>
      </c>
      <c r="E129" s="40">
        <v>1</v>
      </c>
    </row>
    <row r="130" customHeight="1" spans="1:5">
      <c r="A130" s="40" t="s">
        <v>5</v>
      </c>
      <c r="B130" s="70">
        <v>20160333</v>
      </c>
      <c r="C130" s="83" t="s">
        <v>85</v>
      </c>
      <c r="D130" s="70" t="s">
        <v>34</v>
      </c>
      <c r="E130" s="40">
        <v>1</v>
      </c>
    </row>
    <row r="131" customHeight="1" spans="1:5">
      <c r="A131" s="40" t="s">
        <v>5</v>
      </c>
      <c r="B131" s="70">
        <v>20160334</v>
      </c>
      <c r="C131" s="83" t="s">
        <v>86</v>
      </c>
      <c r="D131" s="70" t="s">
        <v>34</v>
      </c>
      <c r="E131" s="40">
        <v>1</v>
      </c>
    </row>
    <row r="132" customHeight="1" spans="1:5">
      <c r="A132" s="40" t="s">
        <v>5</v>
      </c>
      <c r="B132" s="70">
        <v>20160335</v>
      </c>
      <c r="C132" s="83" t="s">
        <v>87</v>
      </c>
      <c r="D132" s="70" t="s">
        <v>34</v>
      </c>
      <c r="E132" s="40">
        <v>1</v>
      </c>
    </row>
    <row r="133" customHeight="1" spans="1:5">
      <c r="A133" s="40" t="s">
        <v>5</v>
      </c>
      <c r="B133" s="70">
        <v>20160336</v>
      </c>
      <c r="C133" s="83" t="s">
        <v>88</v>
      </c>
      <c r="D133" s="70" t="s">
        <v>34</v>
      </c>
      <c r="E133" s="40">
        <v>1</v>
      </c>
    </row>
    <row r="134" customHeight="1" spans="1:5">
      <c r="A134" s="40" t="s">
        <v>5</v>
      </c>
      <c r="B134" s="70">
        <v>20160337</v>
      </c>
      <c r="C134" s="83" t="s">
        <v>89</v>
      </c>
      <c r="D134" s="70" t="s">
        <v>34</v>
      </c>
      <c r="E134" s="40">
        <v>1</v>
      </c>
    </row>
    <row r="135" customHeight="1" spans="1:5">
      <c r="A135" s="40" t="s">
        <v>5</v>
      </c>
      <c r="B135" s="70">
        <v>20160338</v>
      </c>
      <c r="C135" s="83" t="s">
        <v>90</v>
      </c>
      <c r="D135" s="70" t="s">
        <v>34</v>
      </c>
      <c r="E135" s="40">
        <v>1</v>
      </c>
    </row>
    <row r="136" customHeight="1" spans="1:5">
      <c r="A136" s="40" t="s">
        <v>5</v>
      </c>
      <c r="B136" s="70">
        <v>20160339</v>
      </c>
      <c r="C136" s="83" t="s">
        <v>91</v>
      </c>
      <c r="D136" s="70" t="s">
        <v>34</v>
      </c>
      <c r="E136" s="40">
        <v>1</v>
      </c>
    </row>
    <row r="137" customHeight="1" spans="1:5">
      <c r="A137" s="40" t="s">
        <v>5</v>
      </c>
      <c r="B137" s="70">
        <v>20160423</v>
      </c>
      <c r="C137" s="83" t="s">
        <v>92</v>
      </c>
      <c r="D137" s="70" t="s">
        <v>34</v>
      </c>
      <c r="E137" s="40">
        <v>1</v>
      </c>
    </row>
    <row r="138" customHeight="1" spans="1:5">
      <c r="A138" s="40" t="s">
        <v>5</v>
      </c>
      <c r="B138" s="70">
        <v>20160651</v>
      </c>
      <c r="C138" s="83" t="s">
        <v>93</v>
      </c>
      <c r="D138" s="70" t="s">
        <v>34</v>
      </c>
      <c r="E138" s="40">
        <v>1</v>
      </c>
    </row>
    <row r="139" customHeight="1" spans="1:5">
      <c r="A139" s="40" t="s">
        <v>5</v>
      </c>
      <c r="B139" s="70">
        <v>20190836</v>
      </c>
      <c r="C139" s="83" t="s">
        <v>94</v>
      </c>
      <c r="D139" s="70" t="s">
        <v>7</v>
      </c>
      <c r="E139" s="40">
        <v>1</v>
      </c>
    </row>
    <row r="140" customHeight="1" spans="1:5">
      <c r="A140" s="40" t="s">
        <v>5</v>
      </c>
      <c r="B140" s="70">
        <v>20200967</v>
      </c>
      <c r="C140" s="83" t="s">
        <v>95</v>
      </c>
      <c r="D140" s="70" t="s">
        <v>7</v>
      </c>
      <c r="E140" s="40">
        <v>1</v>
      </c>
    </row>
    <row r="141" customHeight="1" spans="1:5">
      <c r="A141" s="40" t="s">
        <v>5</v>
      </c>
      <c r="B141" s="70">
        <v>20200968</v>
      </c>
      <c r="C141" s="83" t="s">
        <v>95</v>
      </c>
      <c r="D141" s="70" t="s">
        <v>7</v>
      </c>
      <c r="E141" s="40">
        <v>1</v>
      </c>
    </row>
    <row r="142" customHeight="1" spans="1:5">
      <c r="A142" s="40" t="s">
        <v>5</v>
      </c>
      <c r="B142" s="70">
        <v>20200969</v>
      </c>
      <c r="C142" s="83" t="s">
        <v>95</v>
      </c>
      <c r="D142" s="70" t="s">
        <v>7</v>
      </c>
      <c r="E142" s="40">
        <v>1</v>
      </c>
    </row>
    <row r="143" customHeight="1" spans="1:5">
      <c r="A143" s="40" t="s">
        <v>5</v>
      </c>
      <c r="B143" s="70">
        <v>20220820</v>
      </c>
      <c r="C143" s="83" t="s">
        <v>96</v>
      </c>
      <c r="D143" s="70" t="s">
        <v>7</v>
      </c>
      <c r="E143" s="40">
        <v>1</v>
      </c>
    </row>
    <row r="144" customHeight="1" spans="1:5">
      <c r="A144" s="40" t="s">
        <v>5</v>
      </c>
      <c r="B144" s="70">
        <v>20220821</v>
      </c>
      <c r="C144" s="83" t="s">
        <v>96</v>
      </c>
      <c r="D144" s="70" t="s">
        <v>7</v>
      </c>
      <c r="E144" s="40">
        <v>1</v>
      </c>
    </row>
    <row r="145" customHeight="1" spans="1:5">
      <c r="A145" s="40" t="s">
        <v>5</v>
      </c>
      <c r="B145" s="70">
        <v>20220822</v>
      </c>
      <c r="C145" s="83" t="s">
        <v>96</v>
      </c>
      <c r="D145" s="70" t="s">
        <v>7</v>
      </c>
      <c r="E145" s="40">
        <v>1</v>
      </c>
    </row>
    <row r="146" customHeight="1" spans="1:5">
      <c r="A146" s="40" t="s">
        <v>5</v>
      </c>
      <c r="B146" s="70">
        <v>20220823</v>
      </c>
      <c r="C146" s="83" t="s">
        <v>96</v>
      </c>
      <c r="D146" s="70" t="s">
        <v>7</v>
      </c>
      <c r="E146" s="40">
        <v>1</v>
      </c>
    </row>
    <row r="147" customHeight="1" spans="1:5">
      <c r="A147" s="40" t="s">
        <v>5</v>
      </c>
      <c r="B147" s="70">
        <v>20220824</v>
      </c>
      <c r="C147" s="83" t="s">
        <v>96</v>
      </c>
      <c r="D147" s="70" t="s">
        <v>7</v>
      </c>
      <c r="E147" s="40">
        <v>1</v>
      </c>
    </row>
    <row r="148" customHeight="1" spans="1:5">
      <c r="A148" s="40" t="s">
        <v>5</v>
      </c>
      <c r="B148" s="70">
        <v>20220825</v>
      </c>
      <c r="C148" s="83" t="s">
        <v>96</v>
      </c>
      <c r="D148" s="70" t="s">
        <v>7</v>
      </c>
      <c r="E148" s="40">
        <v>1</v>
      </c>
    </row>
    <row r="149" customHeight="1" spans="1:5">
      <c r="A149" s="40" t="s">
        <v>5</v>
      </c>
      <c r="B149" s="70">
        <v>20220826</v>
      </c>
      <c r="C149" s="83" t="s">
        <v>96</v>
      </c>
      <c r="D149" s="70" t="s">
        <v>7</v>
      </c>
      <c r="E149" s="40">
        <v>1</v>
      </c>
    </row>
    <row r="150" customHeight="1" spans="1:5">
      <c r="A150" s="40" t="s">
        <v>5</v>
      </c>
      <c r="B150" s="70">
        <v>20220827</v>
      </c>
      <c r="C150" s="83" t="s">
        <v>96</v>
      </c>
      <c r="D150" s="70" t="s">
        <v>7</v>
      </c>
      <c r="E150" s="40">
        <v>1</v>
      </c>
    </row>
    <row r="151" customHeight="1" spans="1:5">
      <c r="A151" s="40" t="s">
        <v>5</v>
      </c>
      <c r="B151" s="70">
        <v>20220828</v>
      </c>
      <c r="C151" s="83" t="s">
        <v>96</v>
      </c>
      <c r="D151" s="70" t="s">
        <v>7</v>
      </c>
      <c r="E151" s="40">
        <v>1</v>
      </c>
    </row>
    <row r="152" customHeight="1" spans="1:5">
      <c r="A152" s="40" t="s">
        <v>5</v>
      </c>
      <c r="B152" s="70">
        <v>20220829</v>
      </c>
      <c r="C152" s="83" t="s">
        <v>96</v>
      </c>
      <c r="D152" s="70" t="s">
        <v>7</v>
      </c>
      <c r="E152" s="40">
        <v>1</v>
      </c>
    </row>
    <row r="153" customHeight="1" spans="1:5">
      <c r="A153" s="40" t="s">
        <v>5</v>
      </c>
      <c r="B153" s="70">
        <v>20220830</v>
      </c>
      <c r="C153" s="83" t="s">
        <v>96</v>
      </c>
      <c r="D153" s="70" t="s">
        <v>7</v>
      </c>
      <c r="E153" s="40">
        <v>1</v>
      </c>
    </row>
    <row r="154" customHeight="1" spans="1:5">
      <c r="A154" s="40" t="s">
        <v>5</v>
      </c>
      <c r="B154" s="70">
        <v>20220854</v>
      </c>
      <c r="C154" s="83" t="s">
        <v>97</v>
      </c>
      <c r="D154" s="70" t="s">
        <v>34</v>
      </c>
      <c r="E154" s="40">
        <v>1</v>
      </c>
    </row>
    <row r="155" customHeight="1" spans="1:5">
      <c r="A155" s="40" t="s">
        <v>5</v>
      </c>
      <c r="B155" s="70">
        <v>20220855</v>
      </c>
      <c r="C155" s="83" t="s">
        <v>97</v>
      </c>
      <c r="D155" s="70" t="s">
        <v>34</v>
      </c>
      <c r="E155" s="40">
        <v>1</v>
      </c>
    </row>
    <row r="156" customHeight="1" spans="1:5">
      <c r="A156" s="40" t="s">
        <v>5</v>
      </c>
      <c r="B156" s="70">
        <v>20220856</v>
      </c>
      <c r="C156" s="83" t="s">
        <v>97</v>
      </c>
      <c r="D156" s="70" t="s">
        <v>34</v>
      </c>
      <c r="E156" s="40">
        <v>1</v>
      </c>
    </row>
    <row r="157" customHeight="1" spans="1:5">
      <c r="A157" s="40" t="s">
        <v>5</v>
      </c>
      <c r="B157" s="70">
        <v>20220857</v>
      </c>
      <c r="C157" s="83" t="s">
        <v>97</v>
      </c>
      <c r="D157" s="70" t="s">
        <v>34</v>
      </c>
      <c r="E157" s="40">
        <v>1</v>
      </c>
    </row>
    <row r="158" customHeight="1" spans="1:5">
      <c r="A158" s="40" t="s">
        <v>5</v>
      </c>
      <c r="B158" s="70">
        <v>20220858</v>
      </c>
      <c r="C158" s="83" t="s">
        <v>97</v>
      </c>
      <c r="D158" s="70" t="s">
        <v>34</v>
      </c>
      <c r="E158" s="40">
        <v>1</v>
      </c>
    </row>
    <row r="159" customHeight="1" spans="1:5">
      <c r="A159" s="40" t="s">
        <v>5</v>
      </c>
      <c r="B159" s="70">
        <v>20220859</v>
      </c>
      <c r="C159" s="83" t="s">
        <v>97</v>
      </c>
      <c r="D159" s="70" t="s">
        <v>34</v>
      </c>
      <c r="E159" s="40">
        <v>1</v>
      </c>
    </row>
    <row r="160" customHeight="1" spans="1:5">
      <c r="A160" s="40" t="s">
        <v>5</v>
      </c>
      <c r="B160" s="70">
        <v>20220860</v>
      </c>
      <c r="C160" s="83" t="s">
        <v>97</v>
      </c>
      <c r="D160" s="70" t="s">
        <v>34</v>
      </c>
      <c r="E160" s="40">
        <v>1</v>
      </c>
    </row>
    <row r="161" customHeight="1" spans="1:5">
      <c r="A161" s="40" t="s">
        <v>5</v>
      </c>
      <c r="B161" s="70">
        <v>20220861</v>
      </c>
      <c r="C161" s="83" t="s">
        <v>97</v>
      </c>
      <c r="D161" s="70" t="s">
        <v>34</v>
      </c>
      <c r="E161" s="40">
        <v>1</v>
      </c>
    </row>
    <row r="162" customHeight="1" spans="1:5">
      <c r="A162" s="40" t="s">
        <v>5</v>
      </c>
      <c r="B162" s="70">
        <v>20220862</v>
      </c>
      <c r="C162" s="83" t="s">
        <v>97</v>
      </c>
      <c r="D162" s="70" t="s">
        <v>34</v>
      </c>
      <c r="E162" s="40">
        <v>1</v>
      </c>
    </row>
    <row r="163" customHeight="1" spans="1:5">
      <c r="A163" s="40" t="s">
        <v>5</v>
      </c>
      <c r="B163" s="70">
        <v>20220863</v>
      </c>
      <c r="C163" s="83" t="s">
        <v>97</v>
      </c>
      <c r="D163" s="70" t="s">
        <v>34</v>
      </c>
      <c r="E163" s="40">
        <v>1</v>
      </c>
    </row>
    <row r="164" customHeight="1" spans="1:5">
      <c r="A164" s="40" t="s">
        <v>5</v>
      </c>
      <c r="B164" s="70">
        <v>20220864</v>
      </c>
      <c r="C164" s="83" t="s">
        <v>97</v>
      </c>
      <c r="D164" s="70" t="s">
        <v>34</v>
      </c>
      <c r="E164" s="40">
        <v>1</v>
      </c>
    </row>
    <row r="165" customHeight="1" spans="1:5">
      <c r="A165" s="40" t="s">
        <v>5</v>
      </c>
      <c r="B165" s="70">
        <v>20220865</v>
      </c>
      <c r="C165" s="83" t="s">
        <v>97</v>
      </c>
      <c r="D165" s="70" t="s">
        <v>34</v>
      </c>
      <c r="E165" s="40">
        <v>1</v>
      </c>
    </row>
    <row r="166" customHeight="1" spans="1:5">
      <c r="A166" s="40" t="s">
        <v>5</v>
      </c>
      <c r="B166" s="70">
        <v>20220866</v>
      </c>
      <c r="C166" s="83" t="s">
        <v>97</v>
      </c>
      <c r="D166" s="70" t="s">
        <v>34</v>
      </c>
      <c r="E166" s="40">
        <v>1</v>
      </c>
    </row>
    <row r="167" customHeight="1" spans="1:5">
      <c r="A167" s="40" t="s">
        <v>5</v>
      </c>
      <c r="B167" s="70">
        <v>20220867</v>
      </c>
      <c r="C167" s="83" t="s">
        <v>97</v>
      </c>
      <c r="D167" s="70" t="s">
        <v>34</v>
      </c>
      <c r="E167" s="40">
        <v>1</v>
      </c>
    </row>
    <row r="168" customHeight="1" spans="1:5">
      <c r="A168" s="40" t="s">
        <v>5</v>
      </c>
      <c r="B168" s="70">
        <v>20220868</v>
      </c>
      <c r="C168" s="83" t="s">
        <v>97</v>
      </c>
      <c r="D168" s="70" t="s">
        <v>34</v>
      </c>
      <c r="E168" s="40">
        <v>1</v>
      </c>
    </row>
    <row r="169" customHeight="1" spans="1:5">
      <c r="A169" s="40" t="s">
        <v>5</v>
      </c>
      <c r="B169" s="70">
        <v>20220869</v>
      </c>
      <c r="C169" s="83" t="s">
        <v>97</v>
      </c>
      <c r="D169" s="70" t="s">
        <v>34</v>
      </c>
      <c r="E169" s="40">
        <v>1</v>
      </c>
    </row>
    <row r="170" customHeight="1" spans="1:5">
      <c r="A170" s="40" t="s">
        <v>5</v>
      </c>
      <c r="B170" s="70">
        <v>20220870</v>
      </c>
      <c r="C170" s="83" t="s">
        <v>97</v>
      </c>
      <c r="D170" s="70" t="s">
        <v>34</v>
      </c>
      <c r="E170" s="40">
        <v>1</v>
      </c>
    </row>
    <row r="171" customHeight="1" spans="1:5">
      <c r="A171" s="40" t="s">
        <v>5</v>
      </c>
      <c r="B171" s="70">
        <v>20220871</v>
      </c>
      <c r="C171" s="83" t="s">
        <v>97</v>
      </c>
      <c r="D171" s="70" t="s">
        <v>34</v>
      </c>
      <c r="E171" s="40">
        <v>1</v>
      </c>
    </row>
    <row r="172" customHeight="1" spans="1:5">
      <c r="A172" s="40" t="s">
        <v>5</v>
      </c>
      <c r="B172" s="70">
        <v>20220872</v>
      </c>
      <c r="C172" s="83" t="s">
        <v>97</v>
      </c>
      <c r="D172" s="70" t="s">
        <v>34</v>
      </c>
      <c r="E172" s="40">
        <v>1</v>
      </c>
    </row>
    <row r="173" customHeight="1" spans="1:5">
      <c r="A173" s="40" t="s">
        <v>5</v>
      </c>
      <c r="B173" s="70">
        <v>20220873</v>
      </c>
      <c r="C173" s="83" t="s">
        <v>97</v>
      </c>
      <c r="D173" s="70" t="s">
        <v>34</v>
      </c>
      <c r="E173" s="40">
        <v>1</v>
      </c>
    </row>
    <row r="174" customHeight="1" spans="1:5">
      <c r="A174" s="40" t="s">
        <v>5</v>
      </c>
      <c r="B174" s="70">
        <v>20220874</v>
      </c>
      <c r="C174" s="83" t="s">
        <v>97</v>
      </c>
      <c r="D174" s="70" t="s">
        <v>34</v>
      </c>
      <c r="E174" s="40">
        <v>1</v>
      </c>
    </row>
    <row r="175" customHeight="1" spans="1:5">
      <c r="A175" s="40" t="s">
        <v>5</v>
      </c>
      <c r="B175" s="70">
        <v>20220875</v>
      </c>
      <c r="C175" s="83" t="s">
        <v>97</v>
      </c>
      <c r="D175" s="70" t="s">
        <v>34</v>
      </c>
      <c r="E175" s="40">
        <v>1</v>
      </c>
    </row>
    <row r="176" customHeight="1" spans="1:5">
      <c r="A176" s="40" t="s">
        <v>5</v>
      </c>
      <c r="B176" s="70">
        <v>20220876</v>
      </c>
      <c r="C176" s="83" t="s">
        <v>97</v>
      </c>
      <c r="D176" s="70" t="s">
        <v>34</v>
      </c>
      <c r="E176" s="40">
        <v>1</v>
      </c>
    </row>
    <row r="177" customHeight="1" spans="1:5">
      <c r="A177" s="40" t="s">
        <v>5</v>
      </c>
      <c r="B177" s="70">
        <v>20220877</v>
      </c>
      <c r="C177" s="83" t="s">
        <v>97</v>
      </c>
      <c r="D177" s="70" t="s">
        <v>34</v>
      </c>
      <c r="E177" s="40">
        <v>1</v>
      </c>
    </row>
    <row r="178" customHeight="1" spans="1:5">
      <c r="A178" s="40" t="s">
        <v>5</v>
      </c>
      <c r="B178" s="70">
        <v>20220878</v>
      </c>
      <c r="C178" s="83" t="s">
        <v>97</v>
      </c>
      <c r="D178" s="70" t="s">
        <v>34</v>
      </c>
      <c r="E178" s="40">
        <v>1</v>
      </c>
    </row>
    <row r="179" customHeight="1" spans="1:5">
      <c r="A179" s="40" t="s">
        <v>5</v>
      </c>
      <c r="B179" s="70">
        <v>20220879</v>
      </c>
      <c r="C179" s="83" t="s">
        <v>97</v>
      </c>
      <c r="D179" s="70" t="s">
        <v>34</v>
      </c>
      <c r="E179" s="40">
        <v>1</v>
      </c>
    </row>
    <row r="180" customHeight="1" spans="1:5">
      <c r="A180" s="40" t="s">
        <v>5</v>
      </c>
      <c r="B180" s="70">
        <v>20220880</v>
      </c>
      <c r="C180" s="83" t="s">
        <v>97</v>
      </c>
      <c r="D180" s="70" t="s">
        <v>34</v>
      </c>
      <c r="E180" s="40">
        <v>1</v>
      </c>
    </row>
    <row r="181" customHeight="1" spans="1:5">
      <c r="A181" s="40" t="s">
        <v>5</v>
      </c>
      <c r="B181" s="70">
        <v>20220881</v>
      </c>
      <c r="C181" s="83" t="s">
        <v>97</v>
      </c>
      <c r="D181" s="70" t="s">
        <v>34</v>
      </c>
      <c r="E181" s="40">
        <v>1</v>
      </c>
    </row>
    <row r="182" customHeight="1" spans="1:5">
      <c r="A182" s="40" t="s">
        <v>5</v>
      </c>
      <c r="B182" s="70">
        <v>20220882</v>
      </c>
      <c r="C182" s="83" t="s">
        <v>97</v>
      </c>
      <c r="D182" s="70" t="s">
        <v>34</v>
      </c>
      <c r="E182" s="40">
        <v>1</v>
      </c>
    </row>
    <row r="183" customHeight="1" spans="1:5">
      <c r="A183" s="40" t="s">
        <v>5</v>
      </c>
      <c r="B183" s="70">
        <v>20220883</v>
      </c>
      <c r="C183" s="83" t="s">
        <v>97</v>
      </c>
      <c r="D183" s="70" t="s">
        <v>34</v>
      </c>
      <c r="E183" s="40">
        <v>1</v>
      </c>
    </row>
    <row r="184" customHeight="1" spans="1:5">
      <c r="A184" s="40" t="s">
        <v>5</v>
      </c>
      <c r="B184" s="70">
        <v>20220884</v>
      </c>
      <c r="C184" s="83" t="s">
        <v>97</v>
      </c>
      <c r="D184" s="70" t="s">
        <v>34</v>
      </c>
      <c r="E184" s="40">
        <v>1</v>
      </c>
    </row>
    <row r="185" customHeight="1" spans="1:5">
      <c r="A185" s="40" t="s">
        <v>5</v>
      </c>
      <c r="B185" s="70">
        <v>20220885</v>
      </c>
      <c r="C185" s="83" t="s">
        <v>97</v>
      </c>
      <c r="D185" s="70" t="s">
        <v>34</v>
      </c>
      <c r="E185" s="40">
        <v>1</v>
      </c>
    </row>
    <row r="186" customHeight="1" spans="1:5">
      <c r="A186" s="40" t="s">
        <v>5</v>
      </c>
      <c r="B186" s="70">
        <v>20220886</v>
      </c>
      <c r="C186" s="83" t="s">
        <v>97</v>
      </c>
      <c r="D186" s="70" t="s">
        <v>34</v>
      </c>
      <c r="E186" s="40">
        <v>1</v>
      </c>
    </row>
    <row r="187" customHeight="1" spans="1:5">
      <c r="A187" s="40" t="s">
        <v>5</v>
      </c>
      <c r="B187" s="70">
        <v>20220887</v>
      </c>
      <c r="C187" s="83" t="s">
        <v>97</v>
      </c>
      <c r="D187" s="70" t="s">
        <v>34</v>
      </c>
      <c r="E187" s="40">
        <v>1</v>
      </c>
    </row>
    <row r="188" customHeight="1" spans="1:5">
      <c r="A188" s="40" t="s">
        <v>5</v>
      </c>
      <c r="B188" s="70">
        <v>20220888</v>
      </c>
      <c r="C188" s="83" t="s">
        <v>97</v>
      </c>
      <c r="D188" s="70" t="s">
        <v>34</v>
      </c>
      <c r="E188" s="40">
        <v>1</v>
      </c>
    </row>
    <row r="189" customHeight="1" spans="1:5">
      <c r="A189" s="40" t="s">
        <v>5</v>
      </c>
      <c r="B189" s="70">
        <v>20220889</v>
      </c>
      <c r="C189" s="83" t="s">
        <v>97</v>
      </c>
      <c r="D189" s="70" t="s">
        <v>34</v>
      </c>
      <c r="E189" s="40">
        <v>1</v>
      </c>
    </row>
    <row r="190" customHeight="1" spans="1:5">
      <c r="A190" s="40" t="s">
        <v>5</v>
      </c>
      <c r="B190" s="70">
        <v>20220890</v>
      </c>
      <c r="C190" s="83" t="s">
        <v>97</v>
      </c>
      <c r="D190" s="70" t="s">
        <v>34</v>
      </c>
      <c r="E190" s="40">
        <v>1</v>
      </c>
    </row>
    <row r="191" customHeight="1" spans="1:5">
      <c r="A191" s="40" t="s">
        <v>5</v>
      </c>
      <c r="B191" s="70">
        <v>20220891</v>
      </c>
      <c r="C191" s="83" t="s">
        <v>97</v>
      </c>
      <c r="D191" s="70" t="s">
        <v>34</v>
      </c>
      <c r="E191" s="40">
        <v>1</v>
      </c>
    </row>
    <row r="192" customHeight="1" spans="1:5">
      <c r="A192" s="40" t="s">
        <v>5</v>
      </c>
      <c r="B192" s="70">
        <v>20220892</v>
      </c>
      <c r="C192" s="83" t="s">
        <v>97</v>
      </c>
      <c r="D192" s="70" t="s">
        <v>34</v>
      </c>
      <c r="E192" s="40">
        <v>1</v>
      </c>
    </row>
    <row r="193" customHeight="1" spans="1:5">
      <c r="A193" s="40" t="s">
        <v>5</v>
      </c>
      <c r="B193" s="70">
        <v>20220893</v>
      </c>
      <c r="C193" s="83" t="s">
        <v>97</v>
      </c>
      <c r="D193" s="70" t="s">
        <v>34</v>
      </c>
      <c r="E193" s="40">
        <v>1</v>
      </c>
    </row>
    <row r="194" customHeight="1" spans="1:5">
      <c r="A194" s="40" t="s">
        <v>5</v>
      </c>
      <c r="B194" s="70">
        <v>20220894</v>
      </c>
      <c r="C194" s="83" t="s">
        <v>97</v>
      </c>
      <c r="D194" s="70" t="s">
        <v>34</v>
      </c>
      <c r="E194" s="40">
        <v>1</v>
      </c>
    </row>
    <row r="195" customHeight="1" spans="1:5">
      <c r="A195" s="40" t="s">
        <v>5</v>
      </c>
      <c r="B195" s="70">
        <v>20220895</v>
      </c>
      <c r="C195" s="83" t="s">
        <v>97</v>
      </c>
      <c r="D195" s="70" t="s">
        <v>34</v>
      </c>
      <c r="E195" s="40">
        <v>1</v>
      </c>
    </row>
    <row r="196" customHeight="1" spans="1:5">
      <c r="A196" s="40" t="s">
        <v>5</v>
      </c>
      <c r="B196" s="70">
        <v>20220896</v>
      </c>
      <c r="C196" s="83" t="s">
        <v>97</v>
      </c>
      <c r="D196" s="70" t="s">
        <v>34</v>
      </c>
      <c r="E196" s="40">
        <v>1</v>
      </c>
    </row>
    <row r="197" customHeight="1" spans="1:5">
      <c r="A197" s="40" t="s">
        <v>5</v>
      </c>
      <c r="B197" s="70">
        <v>20220897</v>
      </c>
      <c r="C197" s="83" t="s">
        <v>97</v>
      </c>
      <c r="D197" s="70" t="s">
        <v>34</v>
      </c>
      <c r="E197" s="40">
        <v>1</v>
      </c>
    </row>
    <row r="198" customHeight="1" spans="1:5">
      <c r="A198" s="40" t="s">
        <v>5</v>
      </c>
      <c r="B198" s="70">
        <v>20220898</v>
      </c>
      <c r="C198" s="83" t="s">
        <v>97</v>
      </c>
      <c r="D198" s="70" t="s">
        <v>34</v>
      </c>
      <c r="E198" s="40">
        <v>1</v>
      </c>
    </row>
    <row r="199" customHeight="1" spans="1:5">
      <c r="A199" s="40" t="s">
        <v>5</v>
      </c>
      <c r="B199" s="70">
        <v>20220899</v>
      </c>
      <c r="C199" s="83" t="s">
        <v>97</v>
      </c>
      <c r="D199" s="70" t="s">
        <v>34</v>
      </c>
      <c r="E199" s="40">
        <v>1</v>
      </c>
    </row>
    <row r="200" customHeight="1" spans="1:5">
      <c r="A200" s="40" t="s">
        <v>5</v>
      </c>
      <c r="B200" s="70">
        <v>20220900</v>
      </c>
      <c r="C200" s="83" t="s">
        <v>97</v>
      </c>
      <c r="D200" s="70" t="s">
        <v>34</v>
      </c>
      <c r="E200" s="40">
        <v>1</v>
      </c>
    </row>
    <row r="201" customHeight="1" spans="1:5">
      <c r="A201" s="40" t="s">
        <v>5</v>
      </c>
      <c r="B201" s="70">
        <v>20220901</v>
      </c>
      <c r="C201" s="83" t="s">
        <v>97</v>
      </c>
      <c r="D201" s="70" t="s">
        <v>34</v>
      </c>
      <c r="E201" s="40">
        <v>1</v>
      </c>
    </row>
    <row r="202" customHeight="1" spans="1:5">
      <c r="A202" s="40" t="s">
        <v>5</v>
      </c>
      <c r="B202" s="70">
        <v>20220902</v>
      </c>
      <c r="C202" s="83" t="s">
        <v>97</v>
      </c>
      <c r="D202" s="70" t="s">
        <v>34</v>
      </c>
      <c r="E202" s="40">
        <v>1</v>
      </c>
    </row>
    <row r="203" customHeight="1" spans="1:5">
      <c r="A203" s="40" t="s">
        <v>5</v>
      </c>
      <c r="B203" s="70">
        <v>20220903</v>
      </c>
      <c r="C203" s="83" t="s">
        <v>97</v>
      </c>
      <c r="D203" s="70" t="s">
        <v>34</v>
      </c>
      <c r="E203" s="40">
        <v>1</v>
      </c>
    </row>
    <row r="204" customHeight="1" spans="1:5">
      <c r="A204" s="40" t="s">
        <v>5</v>
      </c>
      <c r="B204" s="70">
        <v>20220904</v>
      </c>
      <c r="C204" s="83" t="s">
        <v>97</v>
      </c>
      <c r="D204" s="70" t="s">
        <v>34</v>
      </c>
      <c r="E204" s="40">
        <v>1</v>
      </c>
    </row>
    <row r="205" customHeight="1" spans="1:5">
      <c r="A205" s="40" t="s">
        <v>5</v>
      </c>
      <c r="B205" s="70">
        <v>20220905</v>
      </c>
      <c r="C205" s="83" t="s">
        <v>97</v>
      </c>
      <c r="D205" s="70" t="s">
        <v>34</v>
      </c>
      <c r="E205" s="40">
        <v>1</v>
      </c>
    </row>
    <row r="206" customHeight="1" spans="1:5">
      <c r="A206" s="40" t="s">
        <v>5</v>
      </c>
      <c r="B206" s="70">
        <v>20220906</v>
      </c>
      <c r="C206" s="83" t="s">
        <v>97</v>
      </c>
      <c r="D206" s="70" t="s">
        <v>34</v>
      </c>
      <c r="E206" s="40">
        <v>1</v>
      </c>
    </row>
    <row r="207" customHeight="1" spans="1:5">
      <c r="A207" s="40" t="s">
        <v>5</v>
      </c>
      <c r="B207" s="70">
        <v>20220907</v>
      </c>
      <c r="C207" s="83" t="s">
        <v>97</v>
      </c>
      <c r="D207" s="70" t="s">
        <v>34</v>
      </c>
      <c r="E207" s="40">
        <v>1</v>
      </c>
    </row>
    <row r="208" customHeight="1" spans="1:5">
      <c r="A208" s="40" t="s">
        <v>5</v>
      </c>
      <c r="B208" s="70">
        <v>20220908</v>
      </c>
      <c r="C208" s="83" t="s">
        <v>97</v>
      </c>
      <c r="D208" s="70" t="s">
        <v>34</v>
      </c>
      <c r="E208" s="40">
        <v>1</v>
      </c>
    </row>
    <row r="209" customHeight="1" spans="1:5">
      <c r="A209" s="40" t="s">
        <v>5</v>
      </c>
      <c r="B209" s="70">
        <v>20220909</v>
      </c>
      <c r="C209" s="83" t="s">
        <v>97</v>
      </c>
      <c r="D209" s="70" t="s">
        <v>34</v>
      </c>
      <c r="E209" s="40">
        <v>1</v>
      </c>
    </row>
    <row r="210" customHeight="1" spans="1:5">
      <c r="A210" s="40" t="s">
        <v>5</v>
      </c>
      <c r="B210" s="70">
        <v>20220910</v>
      </c>
      <c r="C210" s="83" t="s">
        <v>98</v>
      </c>
      <c r="D210" s="70" t="s">
        <v>34</v>
      </c>
      <c r="E210" s="40">
        <v>1</v>
      </c>
    </row>
    <row r="211" customHeight="1" spans="1:5">
      <c r="A211" s="40" t="s">
        <v>5</v>
      </c>
      <c r="B211" s="70">
        <v>20220911</v>
      </c>
      <c r="C211" s="83" t="s">
        <v>98</v>
      </c>
      <c r="D211" s="70" t="s">
        <v>34</v>
      </c>
      <c r="E211" s="40">
        <v>1</v>
      </c>
    </row>
    <row r="212" customHeight="1" spans="1:5">
      <c r="A212" s="40" t="s">
        <v>5</v>
      </c>
      <c r="B212" s="70">
        <v>20220912</v>
      </c>
      <c r="C212" s="83" t="s">
        <v>98</v>
      </c>
      <c r="D212" s="70" t="s">
        <v>34</v>
      </c>
      <c r="E212" s="40">
        <v>1</v>
      </c>
    </row>
    <row r="213" customHeight="1" spans="1:5">
      <c r="A213" s="40" t="s">
        <v>5</v>
      </c>
      <c r="B213" s="70">
        <v>20220913</v>
      </c>
      <c r="C213" s="83" t="s">
        <v>98</v>
      </c>
      <c r="D213" s="70" t="s">
        <v>34</v>
      </c>
      <c r="E213" s="40">
        <v>1</v>
      </c>
    </row>
    <row r="214" customHeight="1" spans="1:5">
      <c r="A214" s="40" t="s">
        <v>5</v>
      </c>
      <c r="B214" s="70">
        <v>20220914</v>
      </c>
      <c r="C214" s="83" t="s">
        <v>98</v>
      </c>
      <c r="D214" s="70" t="s">
        <v>34</v>
      </c>
      <c r="E214" s="40">
        <v>1</v>
      </c>
    </row>
    <row r="215" customHeight="1" spans="1:5">
      <c r="A215" s="40" t="s">
        <v>5</v>
      </c>
      <c r="B215" s="70">
        <v>20220915</v>
      </c>
      <c r="C215" s="83" t="s">
        <v>98</v>
      </c>
      <c r="D215" s="70" t="s">
        <v>34</v>
      </c>
      <c r="E215" s="40">
        <v>1</v>
      </c>
    </row>
    <row r="216" customHeight="1" spans="1:5">
      <c r="A216" s="40" t="s">
        <v>5</v>
      </c>
      <c r="B216" s="70">
        <v>20220916</v>
      </c>
      <c r="C216" s="83" t="s">
        <v>98</v>
      </c>
      <c r="D216" s="70" t="s">
        <v>34</v>
      </c>
      <c r="E216" s="40">
        <v>1</v>
      </c>
    </row>
    <row r="217" customHeight="1" spans="1:5">
      <c r="A217" s="40" t="s">
        <v>5</v>
      </c>
      <c r="B217" s="70">
        <v>20220917</v>
      </c>
      <c r="C217" s="83" t="s">
        <v>98</v>
      </c>
      <c r="D217" s="70" t="s">
        <v>34</v>
      </c>
      <c r="E217" s="40">
        <v>1</v>
      </c>
    </row>
    <row r="218" customHeight="1" spans="1:5">
      <c r="A218" s="40" t="s">
        <v>5</v>
      </c>
      <c r="B218" s="70">
        <v>20220918</v>
      </c>
      <c r="C218" s="83" t="s">
        <v>98</v>
      </c>
      <c r="D218" s="70" t="s">
        <v>34</v>
      </c>
      <c r="E218" s="40">
        <v>1</v>
      </c>
    </row>
    <row r="219" customHeight="1" spans="1:5">
      <c r="A219" s="40" t="s">
        <v>5</v>
      </c>
      <c r="B219" s="70">
        <v>20220919</v>
      </c>
      <c r="C219" s="83" t="s">
        <v>98</v>
      </c>
      <c r="D219" s="70" t="s">
        <v>34</v>
      </c>
      <c r="E219" s="40">
        <v>1</v>
      </c>
    </row>
    <row r="220" customHeight="1" spans="1:5">
      <c r="A220" s="40" t="s">
        <v>5</v>
      </c>
      <c r="B220" s="70">
        <v>20220920</v>
      </c>
      <c r="C220" s="83" t="s">
        <v>98</v>
      </c>
      <c r="D220" s="70" t="s">
        <v>34</v>
      </c>
      <c r="E220" s="40">
        <v>1</v>
      </c>
    </row>
    <row r="221" customHeight="1" spans="1:5">
      <c r="A221" s="40" t="s">
        <v>5</v>
      </c>
      <c r="B221" s="70">
        <v>20220921</v>
      </c>
      <c r="C221" s="83" t="s">
        <v>98</v>
      </c>
      <c r="D221" s="70" t="s">
        <v>34</v>
      </c>
      <c r="E221" s="40">
        <v>1</v>
      </c>
    </row>
    <row r="222" customHeight="1" spans="1:5">
      <c r="A222" s="40" t="s">
        <v>5</v>
      </c>
      <c r="B222" s="70">
        <v>20220922</v>
      </c>
      <c r="C222" s="83" t="s">
        <v>98</v>
      </c>
      <c r="D222" s="70" t="s">
        <v>34</v>
      </c>
      <c r="E222" s="40">
        <v>1</v>
      </c>
    </row>
    <row r="223" customHeight="1" spans="1:5">
      <c r="A223" s="40" t="s">
        <v>5</v>
      </c>
      <c r="B223" s="70">
        <v>20220923</v>
      </c>
      <c r="C223" s="83" t="s">
        <v>98</v>
      </c>
      <c r="D223" s="70" t="s">
        <v>34</v>
      </c>
      <c r="E223" s="40">
        <v>1</v>
      </c>
    </row>
    <row r="224" customHeight="1" spans="1:5">
      <c r="A224" s="40" t="s">
        <v>5</v>
      </c>
      <c r="B224" s="70">
        <v>20220924</v>
      </c>
      <c r="C224" s="83" t="s">
        <v>98</v>
      </c>
      <c r="D224" s="70" t="s">
        <v>34</v>
      </c>
      <c r="E224" s="40">
        <v>1</v>
      </c>
    </row>
    <row r="225" customHeight="1" spans="1:5">
      <c r="A225" s="40" t="s">
        <v>5</v>
      </c>
      <c r="B225" s="70">
        <v>20220925</v>
      </c>
      <c r="C225" s="83" t="s">
        <v>99</v>
      </c>
      <c r="D225" s="70" t="s">
        <v>34</v>
      </c>
      <c r="E225" s="40">
        <v>1</v>
      </c>
    </row>
    <row r="226" customHeight="1" spans="1:5">
      <c r="A226" s="40" t="s">
        <v>5</v>
      </c>
      <c r="B226" s="70">
        <v>20170624</v>
      </c>
      <c r="C226" s="83" t="s">
        <v>100</v>
      </c>
      <c r="D226" s="73" t="s">
        <v>101</v>
      </c>
      <c r="E226" s="40">
        <v>1</v>
      </c>
    </row>
    <row r="227" customHeight="1" spans="1:5">
      <c r="A227" s="40" t="s">
        <v>5</v>
      </c>
      <c r="B227" s="70">
        <v>20170625</v>
      </c>
      <c r="C227" s="83" t="s">
        <v>100</v>
      </c>
      <c r="D227" s="73" t="s">
        <v>101</v>
      </c>
      <c r="E227" s="40">
        <v>1</v>
      </c>
    </row>
    <row r="228" customHeight="1" spans="1:5">
      <c r="A228" s="40" t="s">
        <v>5</v>
      </c>
      <c r="B228" s="70">
        <v>20170667</v>
      </c>
      <c r="C228" s="83" t="s">
        <v>102</v>
      </c>
      <c r="D228" s="73" t="s">
        <v>101</v>
      </c>
      <c r="E228" s="40">
        <v>1</v>
      </c>
    </row>
    <row r="229" customHeight="1" spans="1:5">
      <c r="A229" s="40" t="s">
        <v>5</v>
      </c>
      <c r="B229" s="70">
        <v>20170668</v>
      </c>
      <c r="C229" s="83" t="s">
        <v>102</v>
      </c>
      <c r="D229" s="73" t="s">
        <v>101</v>
      </c>
      <c r="E229" s="40">
        <v>1</v>
      </c>
    </row>
    <row r="230" customHeight="1" spans="1:5">
      <c r="A230" s="40" t="s">
        <v>5</v>
      </c>
      <c r="B230" s="70">
        <v>20170669</v>
      </c>
      <c r="C230" s="83" t="s">
        <v>102</v>
      </c>
      <c r="D230" s="73" t="s">
        <v>101</v>
      </c>
      <c r="E230" s="40">
        <v>1</v>
      </c>
    </row>
    <row r="231" customHeight="1" spans="1:5">
      <c r="A231" s="40" t="s">
        <v>5</v>
      </c>
      <c r="B231" s="70">
        <v>20231076</v>
      </c>
      <c r="C231" s="83" t="s">
        <v>96</v>
      </c>
      <c r="D231" s="73" t="s">
        <v>101</v>
      </c>
      <c r="E231" s="40">
        <v>1</v>
      </c>
    </row>
    <row r="232" customHeight="1" spans="1:5">
      <c r="A232" s="40" t="s">
        <v>5</v>
      </c>
      <c r="B232" s="70">
        <v>20170584</v>
      </c>
      <c r="C232" s="83" t="s">
        <v>100</v>
      </c>
      <c r="D232" s="70" t="s">
        <v>7</v>
      </c>
      <c r="E232" s="40">
        <v>1</v>
      </c>
    </row>
    <row r="233" customHeight="1" spans="1:5">
      <c r="A233" s="40" t="s">
        <v>5</v>
      </c>
      <c r="B233" s="70">
        <v>20170585</v>
      </c>
      <c r="C233" s="83" t="s">
        <v>100</v>
      </c>
      <c r="D233" s="70" t="s">
        <v>7</v>
      </c>
      <c r="E233" s="40">
        <v>1</v>
      </c>
    </row>
    <row r="234" customHeight="1" spans="1:5">
      <c r="A234" s="40" t="s">
        <v>5</v>
      </c>
      <c r="B234" s="70">
        <v>20170586</v>
      </c>
      <c r="C234" s="83" t="s">
        <v>100</v>
      </c>
      <c r="D234" s="70" t="s">
        <v>7</v>
      </c>
      <c r="E234" s="40">
        <v>1</v>
      </c>
    </row>
    <row r="235" customHeight="1" spans="1:5">
      <c r="A235" s="40" t="s">
        <v>5</v>
      </c>
      <c r="B235" s="70">
        <v>20170587</v>
      </c>
      <c r="C235" s="83" t="s">
        <v>100</v>
      </c>
      <c r="D235" s="70" t="s">
        <v>7</v>
      </c>
      <c r="E235" s="40">
        <v>1</v>
      </c>
    </row>
    <row r="236" customHeight="1" spans="1:5">
      <c r="A236" s="40" t="s">
        <v>5</v>
      </c>
      <c r="B236" s="70">
        <v>20170588</v>
      </c>
      <c r="C236" s="83" t="s">
        <v>100</v>
      </c>
      <c r="D236" s="70" t="s">
        <v>7</v>
      </c>
      <c r="E236" s="40">
        <v>1</v>
      </c>
    </row>
    <row r="237" customHeight="1" spans="1:5">
      <c r="A237" s="40" t="s">
        <v>5</v>
      </c>
      <c r="B237" s="70">
        <v>20170589</v>
      </c>
      <c r="C237" s="83" t="s">
        <v>100</v>
      </c>
      <c r="D237" s="70" t="s">
        <v>7</v>
      </c>
      <c r="E237" s="40">
        <v>1</v>
      </c>
    </row>
    <row r="238" customHeight="1" spans="1:5">
      <c r="A238" s="40" t="s">
        <v>5</v>
      </c>
      <c r="B238" s="70">
        <v>20170590</v>
      </c>
      <c r="C238" s="83" t="s">
        <v>100</v>
      </c>
      <c r="D238" s="70" t="s">
        <v>7</v>
      </c>
      <c r="E238" s="40">
        <v>1</v>
      </c>
    </row>
    <row r="239" customHeight="1" spans="1:5">
      <c r="A239" s="40" t="s">
        <v>5</v>
      </c>
      <c r="B239" s="70">
        <v>20170591</v>
      </c>
      <c r="C239" s="83" t="s">
        <v>100</v>
      </c>
      <c r="D239" s="70" t="s">
        <v>7</v>
      </c>
      <c r="E239" s="40">
        <v>1</v>
      </c>
    </row>
    <row r="240" customHeight="1" spans="1:5">
      <c r="A240" s="40" t="s">
        <v>5</v>
      </c>
      <c r="B240" s="70">
        <v>20170592</v>
      </c>
      <c r="C240" s="83" t="s">
        <v>100</v>
      </c>
      <c r="D240" s="70" t="s">
        <v>7</v>
      </c>
      <c r="E240" s="40">
        <v>1</v>
      </c>
    </row>
    <row r="241" customHeight="1" spans="1:5">
      <c r="A241" s="40" t="s">
        <v>5</v>
      </c>
      <c r="B241" s="70">
        <v>20170593</v>
      </c>
      <c r="C241" s="83" t="s">
        <v>100</v>
      </c>
      <c r="D241" s="70" t="s">
        <v>7</v>
      </c>
      <c r="E241" s="40">
        <v>1</v>
      </c>
    </row>
    <row r="242" customHeight="1" spans="1:5">
      <c r="A242" s="40" t="s">
        <v>5</v>
      </c>
      <c r="B242" s="70">
        <v>20170594</v>
      </c>
      <c r="C242" s="83" t="s">
        <v>100</v>
      </c>
      <c r="D242" s="70" t="s">
        <v>7</v>
      </c>
      <c r="E242" s="40">
        <v>1</v>
      </c>
    </row>
    <row r="243" customHeight="1" spans="1:5">
      <c r="A243" s="40" t="s">
        <v>5</v>
      </c>
      <c r="B243" s="70">
        <v>20170595</v>
      </c>
      <c r="C243" s="83" t="s">
        <v>100</v>
      </c>
      <c r="D243" s="70" t="s">
        <v>7</v>
      </c>
      <c r="E243" s="40">
        <v>1</v>
      </c>
    </row>
    <row r="244" customHeight="1" spans="1:5">
      <c r="A244" s="40" t="s">
        <v>5</v>
      </c>
      <c r="B244" s="70">
        <v>20170596</v>
      </c>
      <c r="C244" s="83" t="s">
        <v>100</v>
      </c>
      <c r="D244" s="70" t="s">
        <v>7</v>
      </c>
      <c r="E244" s="40">
        <v>1</v>
      </c>
    </row>
    <row r="245" customHeight="1" spans="1:5">
      <c r="A245" s="40" t="s">
        <v>5</v>
      </c>
      <c r="B245" s="70">
        <v>20170597</v>
      </c>
      <c r="C245" s="83" t="s">
        <v>100</v>
      </c>
      <c r="D245" s="70" t="s">
        <v>7</v>
      </c>
      <c r="E245" s="40">
        <v>1</v>
      </c>
    </row>
    <row r="246" customHeight="1" spans="1:5">
      <c r="A246" s="40" t="s">
        <v>5</v>
      </c>
      <c r="B246" s="70">
        <v>20170598</v>
      </c>
      <c r="C246" s="83" t="s">
        <v>100</v>
      </c>
      <c r="D246" s="70" t="s">
        <v>7</v>
      </c>
      <c r="E246" s="40">
        <v>1</v>
      </c>
    </row>
    <row r="247" customHeight="1" spans="1:5">
      <c r="A247" s="40" t="s">
        <v>5</v>
      </c>
      <c r="B247" s="70">
        <v>20170599</v>
      </c>
      <c r="C247" s="83" t="s">
        <v>100</v>
      </c>
      <c r="D247" s="70" t="s">
        <v>7</v>
      </c>
      <c r="E247" s="40">
        <v>1</v>
      </c>
    </row>
    <row r="248" customHeight="1" spans="1:5">
      <c r="A248" s="40" t="s">
        <v>5</v>
      </c>
      <c r="B248" s="70">
        <v>20170600</v>
      </c>
      <c r="C248" s="83" t="s">
        <v>100</v>
      </c>
      <c r="D248" s="70" t="s">
        <v>7</v>
      </c>
      <c r="E248" s="40">
        <v>1</v>
      </c>
    </row>
    <row r="249" customHeight="1" spans="1:5">
      <c r="A249" s="40" t="s">
        <v>5</v>
      </c>
      <c r="B249" s="70">
        <v>20170601</v>
      </c>
      <c r="C249" s="83" t="s">
        <v>100</v>
      </c>
      <c r="D249" s="70" t="s">
        <v>7</v>
      </c>
      <c r="E249" s="40">
        <v>1</v>
      </c>
    </row>
    <row r="250" customHeight="1" spans="1:5">
      <c r="A250" s="40" t="s">
        <v>5</v>
      </c>
      <c r="B250" s="70">
        <v>20170602</v>
      </c>
      <c r="C250" s="83" t="s">
        <v>100</v>
      </c>
      <c r="D250" s="70" t="s">
        <v>7</v>
      </c>
      <c r="E250" s="40">
        <v>1</v>
      </c>
    </row>
    <row r="251" customHeight="1" spans="1:5">
      <c r="A251" s="40" t="s">
        <v>5</v>
      </c>
      <c r="B251" s="70">
        <v>20170603</v>
      </c>
      <c r="C251" s="83" t="s">
        <v>100</v>
      </c>
      <c r="D251" s="70" t="s">
        <v>7</v>
      </c>
      <c r="E251" s="40">
        <v>1</v>
      </c>
    </row>
    <row r="252" customHeight="1" spans="1:5">
      <c r="A252" s="40" t="s">
        <v>5</v>
      </c>
      <c r="B252" s="70">
        <v>20170604</v>
      </c>
      <c r="C252" s="83" t="s">
        <v>100</v>
      </c>
      <c r="D252" s="70" t="s">
        <v>7</v>
      </c>
      <c r="E252" s="40">
        <v>1</v>
      </c>
    </row>
    <row r="253" customHeight="1" spans="1:5">
      <c r="A253" s="40" t="s">
        <v>5</v>
      </c>
      <c r="B253" s="70">
        <v>20170605</v>
      </c>
      <c r="C253" s="83" t="s">
        <v>100</v>
      </c>
      <c r="D253" s="70" t="s">
        <v>7</v>
      </c>
      <c r="E253" s="40">
        <v>1</v>
      </c>
    </row>
    <row r="254" customHeight="1" spans="1:5">
      <c r="A254" s="40" t="s">
        <v>5</v>
      </c>
      <c r="B254" s="70">
        <v>20170606</v>
      </c>
      <c r="C254" s="83" t="s">
        <v>100</v>
      </c>
      <c r="D254" s="70" t="s">
        <v>7</v>
      </c>
      <c r="E254" s="40">
        <v>1</v>
      </c>
    </row>
    <row r="255" customHeight="1" spans="1:5">
      <c r="A255" s="40" t="s">
        <v>5</v>
      </c>
      <c r="B255" s="70">
        <v>20170607</v>
      </c>
      <c r="C255" s="83" t="s">
        <v>100</v>
      </c>
      <c r="D255" s="70" t="s">
        <v>7</v>
      </c>
      <c r="E255" s="40">
        <v>1</v>
      </c>
    </row>
    <row r="256" customHeight="1" spans="1:5">
      <c r="A256" s="40" t="s">
        <v>5</v>
      </c>
      <c r="B256" s="70">
        <v>20170608</v>
      </c>
      <c r="C256" s="83" t="s">
        <v>100</v>
      </c>
      <c r="D256" s="70" t="s">
        <v>7</v>
      </c>
      <c r="E256" s="40">
        <v>1</v>
      </c>
    </row>
    <row r="257" customHeight="1" spans="1:5">
      <c r="A257" s="40" t="s">
        <v>5</v>
      </c>
      <c r="B257" s="70">
        <v>20170609</v>
      </c>
      <c r="C257" s="83" t="s">
        <v>100</v>
      </c>
      <c r="D257" s="70" t="s">
        <v>7</v>
      </c>
      <c r="E257" s="40">
        <v>1</v>
      </c>
    </row>
    <row r="258" customHeight="1" spans="1:5">
      <c r="A258" s="40" t="s">
        <v>5</v>
      </c>
      <c r="B258" s="70">
        <v>20170610</v>
      </c>
      <c r="C258" s="83" t="s">
        <v>100</v>
      </c>
      <c r="D258" s="70" t="s">
        <v>7</v>
      </c>
      <c r="E258" s="40">
        <v>1</v>
      </c>
    </row>
    <row r="259" customHeight="1" spans="1:5">
      <c r="A259" s="40" t="s">
        <v>5</v>
      </c>
      <c r="B259" s="70">
        <v>20170611</v>
      </c>
      <c r="C259" s="83" t="s">
        <v>100</v>
      </c>
      <c r="D259" s="70" t="s">
        <v>7</v>
      </c>
      <c r="E259" s="40">
        <v>1</v>
      </c>
    </row>
    <row r="260" customHeight="1" spans="1:5">
      <c r="A260" s="40" t="s">
        <v>5</v>
      </c>
      <c r="B260" s="70">
        <v>20170612</v>
      </c>
      <c r="C260" s="83" t="s">
        <v>100</v>
      </c>
      <c r="D260" s="70" t="s">
        <v>7</v>
      </c>
      <c r="E260" s="40">
        <v>1</v>
      </c>
    </row>
    <row r="261" customHeight="1" spans="1:5">
      <c r="A261" s="40" t="s">
        <v>5</v>
      </c>
      <c r="B261" s="70">
        <v>20170613</v>
      </c>
      <c r="C261" s="83" t="s">
        <v>100</v>
      </c>
      <c r="D261" s="70" t="s">
        <v>7</v>
      </c>
      <c r="E261" s="40">
        <v>1</v>
      </c>
    </row>
    <row r="262" customHeight="1" spans="1:5">
      <c r="A262" s="40" t="s">
        <v>5</v>
      </c>
      <c r="B262" s="70">
        <v>20170614</v>
      </c>
      <c r="C262" s="83" t="s">
        <v>100</v>
      </c>
      <c r="D262" s="70" t="s">
        <v>7</v>
      </c>
      <c r="E262" s="40">
        <v>1</v>
      </c>
    </row>
    <row r="263" customHeight="1" spans="1:5">
      <c r="A263" s="40" t="s">
        <v>5</v>
      </c>
      <c r="B263" s="70">
        <v>20170615</v>
      </c>
      <c r="C263" s="83" t="s">
        <v>100</v>
      </c>
      <c r="D263" s="70" t="s">
        <v>7</v>
      </c>
      <c r="E263" s="40">
        <v>1</v>
      </c>
    </row>
    <row r="264" customHeight="1" spans="1:5">
      <c r="A264" s="40" t="s">
        <v>5</v>
      </c>
      <c r="B264" s="70">
        <v>20170616</v>
      </c>
      <c r="C264" s="83" t="s">
        <v>100</v>
      </c>
      <c r="D264" s="70" t="s">
        <v>7</v>
      </c>
      <c r="E264" s="40">
        <v>1</v>
      </c>
    </row>
    <row r="265" customHeight="1" spans="1:5">
      <c r="A265" s="40" t="s">
        <v>5</v>
      </c>
      <c r="B265" s="70">
        <v>20170617</v>
      </c>
      <c r="C265" s="83" t="s">
        <v>100</v>
      </c>
      <c r="D265" s="70" t="s">
        <v>7</v>
      </c>
      <c r="E265" s="40">
        <v>1</v>
      </c>
    </row>
    <row r="266" customHeight="1" spans="1:5">
      <c r="A266" s="40" t="s">
        <v>5</v>
      </c>
      <c r="B266" s="70">
        <v>20170618</v>
      </c>
      <c r="C266" s="83" t="s">
        <v>100</v>
      </c>
      <c r="D266" s="70" t="s">
        <v>7</v>
      </c>
      <c r="E266" s="40">
        <v>1</v>
      </c>
    </row>
    <row r="267" customHeight="1" spans="1:5">
      <c r="A267" s="40" t="s">
        <v>5</v>
      </c>
      <c r="B267" s="70">
        <v>20170619</v>
      </c>
      <c r="C267" s="83" t="s">
        <v>100</v>
      </c>
      <c r="D267" s="70" t="s">
        <v>7</v>
      </c>
      <c r="E267" s="40">
        <v>1</v>
      </c>
    </row>
    <row r="268" customHeight="1" spans="1:5">
      <c r="A268" s="40" t="s">
        <v>5</v>
      </c>
      <c r="B268" s="70">
        <v>20170620</v>
      </c>
      <c r="C268" s="83" t="s">
        <v>100</v>
      </c>
      <c r="D268" s="70" t="s">
        <v>7</v>
      </c>
      <c r="E268" s="40">
        <v>1</v>
      </c>
    </row>
    <row r="269" customHeight="1" spans="1:5">
      <c r="A269" s="40" t="s">
        <v>5</v>
      </c>
      <c r="B269" s="70">
        <v>20170621</v>
      </c>
      <c r="C269" s="83" t="s">
        <v>100</v>
      </c>
      <c r="D269" s="70" t="s">
        <v>7</v>
      </c>
      <c r="E269" s="40">
        <v>1</v>
      </c>
    </row>
    <row r="270" customHeight="1" spans="1:5">
      <c r="A270" s="40" t="s">
        <v>5</v>
      </c>
      <c r="B270" s="70">
        <v>20170622</v>
      </c>
      <c r="C270" s="83" t="s">
        <v>100</v>
      </c>
      <c r="D270" s="70" t="s">
        <v>7</v>
      </c>
      <c r="E270" s="40">
        <v>1</v>
      </c>
    </row>
    <row r="271" customHeight="1" spans="1:5">
      <c r="A271" s="40" t="s">
        <v>5</v>
      </c>
      <c r="B271" s="70">
        <v>20170623</v>
      </c>
      <c r="C271" s="83" t="s">
        <v>100</v>
      </c>
      <c r="D271" s="70" t="s">
        <v>7</v>
      </c>
      <c r="E271" s="40">
        <v>1</v>
      </c>
    </row>
    <row r="272" customHeight="1" spans="1:5">
      <c r="A272" s="40" t="s">
        <v>5</v>
      </c>
      <c r="B272" s="70">
        <v>20170626</v>
      </c>
      <c r="C272" s="83" t="s">
        <v>100</v>
      </c>
      <c r="D272" s="70" t="s">
        <v>7</v>
      </c>
      <c r="E272" s="40">
        <v>1</v>
      </c>
    </row>
    <row r="273" customHeight="1" spans="1:5">
      <c r="A273" s="40" t="s">
        <v>5</v>
      </c>
      <c r="B273" s="70">
        <v>20210839</v>
      </c>
      <c r="C273" s="83" t="s">
        <v>103</v>
      </c>
      <c r="D273" s="70" t="s">
        <v>7</v>
      </c>
      <c r="E273" s="40">
        <v>1</v>
      </c>
    </row>
    <row r="274" customHeight="1" spans="1:5">
      <c r="A274" s="40" t="s">
        <v>5</v>
      </c>
      <c r="B274" s="70">
        <v>20210840</v>
      </c>
      <c r="C274" s="83" t="s">
        <v>103</v>
      </c>
      <c r="D274" s="70" t="s">
        <v>7</v>
      </c>
      <c r="E274" s="40">
        <v>1</v>
      </c>
    </row>
    <row r="275" customHeight="1" spans="1:5">
      <c r="A275" s="40" t="s">
        <v>5</v>
      </c>
      <c r="B275" s="70">
        <v>20210841</v>
      </c>
      <c r="C275" s="83" t="s">
        <v>103</v>
      </c>
      <c r="D275" s="70" t="s">
        <v>7</v>
      </c>
      <c r="E275" s="40">
        <v>1</v>
      </c>
    </row>
    <row r="276" customHeight="1" spans="1:5">
      <c r="A276" s="40" t="s">
        <v>5</v>
      </c>
      <c r="B276" s="70">
        <v>20210842</v>
      </c>
      <c r="C276" s="83" t="s">
        <v>103</v>
      </c>
      <c r="D276" s="70" t="s">
        <v>7</v>
      </c>
      <c r="E276" s="40">
        <v>1</v>
      </c>
    </row>
    <row r="277" customHeight="1" spans="1:5">
      <c r="A277" s="40" t="s">
        <v>5</v>
      </c>
      <c r="B277" s="70">
        <v>20210843</v>
      </c>
      <c r="C277" s="83" t="s">
        <v>103</v>
      </c>
      <c r="D277" s="70" t="s">
        <v>7</v>
      </c>
      <c r="E277" s="40">
        <v>1</v>
      </c>
    </row>
    <row r="278" customHeight="1" spans="1:5">
      <c r="A278" s="40" t="s">
        <v>5</v>
      </c>
      <c r="B278" s="70">
        <v>20210844</v>
      </c>
      <c r="C278" s="83" t="s">
        <v>103</v>
      </c>
      <c r="D278" s="70" t="s">
        <v>7</v>
      </c>
      <c r="E278" s="40">
        <v>1</v>
      </c>
    </row>
    <row r="279" customHeight="1" spans="1:5">
      <c r="A279" s="40" t="s">
        <v>5</v>
      </c>
      <c r="B279" s="70">
        <v>20210845</v>
      </c>
      <c r="C279" s="83" t="s">
        <v>103</v>
      </c>
      <c r="D279" s="70" t="s">
        <v>7</v>
      </c>
      <c r="E279" s="40">
        <v>1</v>
      </c>
    </row>
    <row r="280" customHeight="1" spans="1:5">
      <c r="A280" s="40" t="s">
        <v>5</v>
      </c>
      <c r="B280" s="70">
        <v>20210846</v>
      </c>
      <c r="C280" s="83" t="s">
        <v>103</v>
      </c>
      <c r="D280" s="70" t="s">
        <v>7</v>
      </c>
      <c r="E280" s="40">
        <v>1</v>
      </c>
    </row>
    <row r="281" customHeight="1" spans="1:5">
      <c r="A281" s="40" t="s">
        <v>5</v>
      </c>
      <c r="B281" s="70">
        <v>20210847</v>
      </c>
      <c r="C281" s="83" t="s">
        <v>103</v>
      </c>
      <c r="D281" s="70" t="s">
        <v>7</v>
      </c>
      <c r="E281" s="40">
        <v>1</v>
      </c>
    </row>
    <row r="282" customHeight="1" spans="1:5">
      <c r="A282" s="40" t="s">
        <v>5</v>
      </c>
      <c r="B282" s="70">
        <v>20210848</v>
      </c>
      <c r="C282" s="83" t="s">
        <v>103</v>
      </c>
      <c r="D282" s="70" t="s">
        <v>7</v>
      </c>
      <c r="E282" s="40">
        <v>1</v>
      </c>
    </row>
    <row r="283" customHeight="1" spans="1:5">
      <c r="A283" s="40" t="s">
        <v>5</v>
      </c>
      <c r="B283" s="70">
        <v>20180170</v>
      </c>
      <c r="C283" s="83" t="s">
        <v>95</v>
      </c>
      <c r="D283" s="70" t="s">
        <v>7</v>
      </c>
      <c r="E283" s="40">
        <v>1</v>
      </c>
    </row>
    <row r="284" customHeight="1" spans="1:5">
      <c r="A284" s="40" t="s">
        <v>5</v>
      </c>
      <c r="B284" s="70">
        <v>20180171</v>
      </c>
      <c r="C284" s="83" t="s">
        <v>95</v>
      </c>
      <c r="D284" s="70" t="s">
        <v>7</v>
      </c>
      <c r="E284" s="40">
        <v>1</v>
      </c>
    </row>
    <row r="285" customHeight="1" spans="1:5">
      <c r="A285" s="40" t="s">
        <v>5</v>
      </c>
      <c r="B285" s="70">
        <v>20170627</v>
      </c>
      <c r="C285" s="83" t="s">
        <v>102</v>
      </c>
      <c r="D285" s="70" t="s">
        <v>34</v>
      </c>
      <c r="E285" s="40">
        <v>1</v>
      </c>
    </row>
    <row r="286" customHeight="1" spans="1:5">
      <c r="A286" s="40" t="s">
        <v>5</v>
      </c>
      <c r="B286" s="70">
        <v>20170628</v>
      </c>
      <c r="C286" s="83" t="s">
        <v>102</v>
      </c>
      <c r="D286" s="70" t="s">
        <v>34</v>
      </c>
      <c r="E286" s="40">
        <v>1</v>
      </c>
    </row>
    <row r="287" customHeight="1" spans="1:5">
      <c r="A287" s="40" t="s">
        <v>5</v>
      </c>
      <c r="B287" s="70">
        <v>20170629</v>
      </c>
      <c r="C287" s="83" t="s">
        <v>102</v>
      </c>
      <c r="D287" s="70" t="s">
        <v>34</v>
      </c>
      <c r="E287" s="40">
        <v>1</v>
      </c>
    </row>
    <row r="288" customHeight="1" spans="1:5">
      <c r="A288" s="40" t="s">
        <v>5</v>
      </c>
      <c r="B288" s="70">
        <v>20170630</v>
      </c>
      <c r="C288" s="83" t="s">
        <v>102</v>
      </c>
      <c r="D288" s="70" t="s">
        <v>34</v>
      </c>
      <c r="E288" s="40">
        <v>1</v>
      </c>
    </row>
    <row r="289" customHeight="1" spans="1:5">
      <c r="A289" s="40" t="s">
        <v>5</v>
      </c>
      <c r="B289" s="70">
        <v>20170631</v>
      </c>
      <c r="C289" s="83" t="s">
        <v>102</v>
      </c>
      <c r="D289" s="70" t="s">
        <v>34</v>
      </c>
      <c r="E289" s="40">
        <v>1</v>
      </c>
    </row>
    <row r="290" customHeight="1" spans="1:5">
      <c r="A290" s="40" t="s">
        <v>5</v>
      </c>
      <c r="B290" s="70">
        <v>20170632</v>
      </c>
      <c r="C290" s="83" t="s">
        <v>102</v>
      </c>
      <c r="D290" s="70" t="s">
        <v>34</v>
      </c>
      <c r="E290" s="40">
        <v>1</v>
      </c>
    </row>
    <row r="291" customHeight="1" spans="1:5">
      <c r="A291" s="40" t="s">
        <v>5</v>
      </c>
      <c r="B291" s="70">
        <v>20170633</v>
      </c>
      <c r="C291" s="83" t="s">
        <v>102</v>
      </c>
      <c r="D291" s="70" t="s">
        <v>34</v>
      </c>
      <c r="E291" s="40">
        <v>1</v>
      </c>
    </row>
    <row r="292" customHeight="1" spans="1:5">
      <c r="A292" s="40" t="s">
        <v>5</v>
      </c>
      <c r="B292" s="70">
        <v>20170634</v>
      </c>
      <c r="C292" s="83" t="s">
        <v>102</v>
      </c>
      <c r="D292" s="70" t="s">
        <v>34</v>
      </c>
      <c r="E292" s="40">
        <v>1</v>
      </c>
    </row>
    <row r="293" customHeight="1" spans="1:5">
      <c r="A293" s="40" t="s">
        <v>5</v>
      </c>
      <c r="B293" s="70">
        <v>20170635</v>
      </c>
      <c r="C293" s="83" t="s">
        <v>102</v>
      </c>
      <c r="D293" s="70" t="s">
        <v>34</v>
      </c>
      <c r="E293" s="40">
        <v>1</v>
      </c>
    </row>
    <row r="294" customHeight="1" spans="1:5">
      <c r="A294" s="40" t="s">
        <v>5</v>
      </c>
      <c r="B294" s="70">
        <v>20170636</v>
      </c>
      <c r="C294" s="83" t="s">
        <v>102</v>
      </c>
      <c r="D294" s="70" t="s">
        <v>34</v>
      </c>
      <c r="E294" s="40">
        <v>1</v>
      </c>
    </row>
    <row r="295" customHeight="1" spans="1:5">
      <c r="A295" s="40" t="s">
        <v>5</v>
      </c>
      <c r="B295" s="70">
        <v>20170637</v>
      </c>
      <c r="C295" s="83" t="s">
        <v>102</v>
      </c>
      <c r="D295" s="70" t="s">
        <v>34</v>
      </c>
      <c r="E295" s="40">
        <v>1</v>
      </c>
    </row>
    <row r="296" customHeight="1" spans="1:5">
      <c r="A296" s="40" t="s">
        <v>5</v>
      </c>
      <c r="B296" s="70">
        <v>20170638</v>
      </c>
      <c r="C296" s="83" t="s">
        <v>102</v>
      </c>
      <c r="D296" s="70" t="s">
        <v>34</v>
      </c>
      <c r="E296" s="40">
        <v>1</v>
      </c>
    </row>
    <row r="297" customHeight="1" spans="1:5">
      <c r="A297" s="40" t="s">
        <v>5</v>
      </c>
      <c r="B297" s="70">
        <v>20170639</v>
      </c>
      <c r="C297" s="83" t="s">
        <v>102</v>
      </c>
      <c r="D297" s="70" t="s">
        <v>34</v>
      </c>
      <c r="E297" s="40">
        <v>1</v>
      </c>
    </row>
    <row r="298" customHeight="1" spans="1:5">
      <c r="A298" s="40" t="s">
        <v>5</v>
      </c>
      <c r="B298" s="70">
        <v>20170640</v>
      </c>
      <c r="C298" s="83" t="s">
        <v>102</v>
      </c>
      <c r="D298" s="70" t="s">
        <v>34</v>
      </c>
      <c r="E298" s="40">
        <v>1</v>
      </c>
    </row>
    <row r="299" customHeight="1" spans="1:5">
      <c r="A299" s="40" t="s">
        <v>5</v>
      </c>
      <c r="B299" s="70">
        <v>20170641</v>
      </c>
      <c r="C299" s="83" t="s">
        <v>102</v>
      </c>
      <c r="D299" s="70" t="s">
        <v>34</v>
      </c>
      <c r="E299" s="40">
        <v>1</v>
      </c>
    </row>
    <row r="300" customHeight="1" spans="1:5">
      <c r="A300" s="40" t="s">
        <v>5</v>
      </c>
      <c r="B300" s="70">
        <v>20170642</v>
      </c>
      <c r="C300" s="83" t="s">
        <v>102</v>
      </c>
      <c r="D300" s="70" t="s">
        <v>34</v>
      </c>
      <c r="E300" s="40">
        <v>1</v>
      </c>
    </row>
    <row r="301" customHeight="1" spans="1:5">
      <c r="A301" s="40" t="s">
        <v>5</v>
      </c>
      <c r="B301" s="70">
        <v>20170643</v>
      </c>
      <c r="C301" s="83" t="s">
        <v>102</v>
      </c>
      <c r="D301" s="70" t="s">
        <v>34</v>
      </c>
      <c r="E301" s="40">
        <v>1</v>
      </c>
    </row>
    <row r="302" customHeight="1" spans="1:5">
      <c r="A302" s="40" t="s">
        <v>5</v>
      </c>
      <c r="B302" s="70">
        <v>20170644</v>
      </c>
      <c r="C302" s="83" t="s">
        <v>102</v>
      </c>
      <c r="D302" s="70" t="s">
        <v>34</v>
      </c>
      <c r="E302" s="40">
        <v>1</v>
      </c>
    </row>
    <row r="303" customHeight="1" spans="1:5">
      <c r="A303" s="40" t="s">
        <v>5</v>
      </c>
      <c r="B303" s="70">
        <v>20170645</v>
      </c>
      <c r="C303" s="83" t="s">
        <v>102</v>
      </c>
      <c r="D303" s="70" t="s">
        <v>34</v>
      </c>
      <c r="E303" s="40">
        <v>1</v>
      </c>
    </row>
    <row r="304" customHeight="1" spans="1:5">
      <c r="A304" s="40" t="s">
        <v>5</v>
      </c>
      <c r="B304" s="70">
        <v>20170646</v>
      </c>
      <c r="C304" s="83" t="s">
        <v>102</v>
      </c>
      <c r="D304" s="70" t="s">
        <v>34</v>
      </c>
      <c r="E304" s="40">
        <v>1</v>
      </c>
    </row>
    <row r="305" customHeight="1" spans="1:5">
      <c r="A305" s="40" t="s">
        <v>5</v>
      </c>
      <c r="B305" s="70">
        <v>20170647</v>
      </c>
      <c r="C305" s="83" t="s">
        <v>102</v>
      </c>
      <c r="D305" s="70" t="s">
        <v>34</v>
      </c>
      <c r="E305" s="40">
        <v>1</v>
      </c>
    </row>
    <row r="306" customHeight="1" spans="1:5">
      <c r="A306" s="40" t="s">
        <v>5</v>
      </c>
      <c r="B306" s="70">
        <v>20170648</v>
      </c>
      <c r="C306" s="83" t="s">
        <v>102</v>
      </c>
      <c r="D306" s="70" t="s">
        <v>34</v>
      </c>
      <c r="E306" s="40">
        <v>1</v>
      </c>
    </row>
    <row r="307" customHeight="1" spans="1:5">
      <c r="A307" s="40" t="s">
        <v>5</v>
      </c>
      <c r="B307" s="70">
        <v>20170649</v>
      </c>
      <c r="C307" s="83" t="s">
        <v>102</v>
      </c>
      <c r="D307" s="70" t="s">
        <v>34</v>
      </c>
      <c r="E307" s="40">
        <v>1</v>
      </c>
    </row>
    <row r="308" customHeight="1" spans="1:5">
      <c r="A308" s="40" t="s">
        <v>5</v>
      </c>
      <c r="B308" s="70">
        <v>20170650</v>
      </c>
      <c r="C308" s="83" t="s">
        <v>102</v>
      </c>
      <c r="D308" s="70" t="s">
        <v>34</v>
      </c>
      <c r="E308" s="40">
        <v>1</v>
      </c>
    </row>
    <row r="309" customHeight="1" spans="1:5">
      <c r="A309" s="40" t="s">
        <v>5</v>
      </c>
      <c r="B309" s="70">
        <v>20170651</v>
      </c>
      <c r="C309" s="83" t="s">
        <v>102</v>
      </c>
      <c r="D309" s="70" t="s">
        <v>34</v>
      </c>
      <c r="E309" s="40">
        <v>1</v>
      </c>
    </row>
    <row r="310" customHeight="1" spans="1:5">
      <c r="A310" s="40" t="s">
        <v>5</v>
      </c>
      <c r="B310" s="70">
        <v>20170652</v>
      </c>
      <c r="C310" s="83" t="s">
        <v>102</v>
      </c>
      <c r="D310" s="70" t="s">
        <v>34</v>
      </c>
      <c r="E310" s="40">
        <v>1</v>
      </c>
    </row>
    <row r="311" customHeight="1" spans="1:5">
      <c r="A311" s="40" t="s">
        <v>5</v>
      </c>
      <c r="B311" s="70">
        <v>20170653</v>
      </c>
      <c r="C311" s="83" t="s">
        <v>102</v>
      </c>
      <c r="D311" s="70" t="s">
        <v>34</v>
      </c>
      <c r="E311" s="40">
        <v>1</v>
      </c>
    </row>
    <row r="312" customHeight="1" spans="1:5">
      <c r="A312" s="40" t="s">
        <v>5</v>
      </c>
      <c r="B312" s="70">
        <v>20170654</v>
      </c>
      <c r="C312" s="83" t="s">
        <v>102</v>
      </c>
      <c r="D312" s="70" t="s">
        <v>34</v>
      </c>
      <c r="E312" s="40">
        <v>1</v>
      </c>
    </row>
    <row r="313" customHeight="1" spans="1:5">
      <c r="A313" s="40" t="s">
        <v>5</v>
      </c>
      <c r="B313" s="70">
        <v>20170655</v>
      </c>
      <c r="C313" s="83" t="s">
        <v>102</v>
      </c>
      <c r="D313" s="70" t="s">
        <v>34</v>
      </c>
      <c r="E313" s="40">
        <v>1</v>
      </c>
    </row>
    <row r="314" customHeight="1" spans="1:5">
      <c r="A314" s="40" t="s">
        <v>5</v>
      </c>
      <c r="B314" s="70">
        <v>20170656</v>
      </c>
      <c r="C314" s="83" t="s">
        <v>102</v>
      </c>
      <c r="D314" s="70" t="s">
        <v>34</v>
      </c>
      <c r="E314" s="40">
        <v>1</v>
      </c>
    </row>
    <row r="315" customHeight="1" spans="1:5">
      <c r="A315" s="40" t="s">
        <v>5</v>
      </c>
      <c r="B315" s="70">
        <v>20170657</v>
      </c>
      <c r="C315" s="83" t="s">
        <v>102</v>
      </c>
      <c r="D315" s="70" t="s">
        <v>34</v>
      </c>
      <c r="E315" s="40">
        <v>1</v>
      </c>
    </row>
    <row r="316" customHeight="1" spans="1:5">
      <c r="A316" s="40" t="s">
        <v>5</v>
      </c>
      <c r="B316" s="70">
        <v>20170658</v>
      </c>
      <c r="C316" s="83" t="s">
        <v>102</v>
      </c>
      <c r="D316" s="70" t="s">
        <v>34</v>
      </c>
      <c r="E316" s="40">
        <v>1</v>
      </c>
    </row>
    <row r="317" customHeight="1" spans="1:5">
      <c r="A317" s="40" t="s">
        <v>5</v>
      </c>
      <c r="B317" s="70">
        <v>20170659</v>
      </c>
      <c r="C317" s="83" t="s">
        <v>102</v>
      </c>
      <c r="D317" s="70" t="s">
        <v>34</v>
      </c>
      <c r="E317" s="40">
        <v>1</v>
      </c>
    </row>
    <row r="318" customHeight="1" spans="1:5">
      <c r="A318" s="40" t="s">
        <v>5</v>
      </c>
      <c r="B318" s="70">
        <v>20170660</v>
      </c>
      <c r="C318" s="83" t="s">
        <v>102</v>
      </c>
      <c r="D318" s="70" t="s">
        <v>34</v>
      </c>
      <c r="E318" s="40">
        <v>1</v>
      </c>
    </row>
    <row r="319" customHeight="1" spans="1:5">
      <c r="A319" s="40" t="s">
        <v>5</v>
      </c>
      <c r="B319" s="70">
        <v>20170661</v>
      </c>
      <c r="C319" s="83" t="s">
        <v>102</v>
      </c>
      <c r="D319" s="70" t="s">
        <v>34</v>
      </c>
      <c r="E319" s="40">
        <v>1</v>
      </c>
    </row>
    <row r="320" customHeight="1" spans="1:5">
      <c r="A320" s="40" t="s">
        <v>5</v>
      </c>
      <c r="B320" s="70">
        <v>20170662</v>
      </c>
      <c r="C320" s="83" t="s">
        <v>102</v>
      </c>
      <c r="D320" s="70" t="s">
        <v>34</v>
      </c>
      <c r="E320" s="40">
        <v>1</v>
      </c>
    </row>
    <row r="321" customHeight="1" spans="1:5">
      <c r="A321" s="40" t="s">
        <v>5</v>
      </c>
      <c r="B321" s="70">
        <v>20170663</v>
      </c>
      <c r="C321" s="83" t="s">
        <v>102</v>
      </c>
      <c r="D321" s="70" t="s">
        <v>34</v>
      </c>
      <c r="E321" s="40">
        <v>1</v>
      </c>
    </row>
    <row r="322" customHeight="1" spans="1:5">
      <c r="A322" s="40" t="s">
        <v>5</v>
      </c>
      <c r="B322" s="70">
        <v>20170664</v>
      </c>
      <c r="C322" s="83" t="s">
        <v>102</v>
      </c>
      <c r="D322" s="70" t="s">
        <v>34</v>
      </c>
      <c r="E322" s="40">
        <v>1</v>
      </c>
    </row>
    <row r="323" customHeight="1" spans="1:5">
      <c r="A323" s="40" t="s">
        <v>5</v>
      </c>
      <c r="B323" s="70">
        <v>20170665</v>
      </c>
      <c r="C323" s="83" t="s">
        <v>102</v>
      </c>
      <c r="D323" s="70" t="s">
        <v>34</v>
      </c>
      <c r="E323" s="40">
        <v>1</v>
      </c>
    </row>
    <row r="324" customHeight="1" spans="1:5">
      <c r="A324" s="40" t="s">
        <v>5</v>
      </c>
      <c r="B324" s="70">
        <v>20170666</v>
      </c>
      <c r="C324" s="83" t="s">
        <v>102</v>
      </c>
      <c r="D324" s="70" t="s">
        <v>34</v>
      </c>
      <c r="E324" s="40">
        <v>1</v>
      </c>
    </row>
    <row r="325" customHeight="1" spans="1:5">
      <c r="A325" s="40" t="s">
        <v>5</v>
      </c>
      <c r="B325" s="70">
        <v>20170670</v>
      </c>
      <c r="C325" s="83" t="s">
        <v>104</v>
      </c>
      <c r="D325" s="70" t="s">
        <v>34</v>
      </c>
      <c r="E325" s="40">
        <v>1</v>
      </c>
    </row>
    <row r="326" customHeight="1" spans="1:5">
      <c r="A326" s="40" t="s">
        <v>5</v>
      </c>
      <c r="B326" s="70">
        <v>20170671</v>
      </c>
      <c r="C326" s="83" t="s">
        <v>104</v>
      </c>
      <c r="D326" s="70" t="s">
        <v>34</v>
      </c>
      <c r="E326" s="40">
        <v>1</v>
      </c>
    </row>
    <row r="327" customHeight="1" spans="1:5">
      <c r="A327" s="40" t="s">
        <v>5</v>
      </c>
      <c r="B327" s="70">
        <v>20170672</v>
      </c>
      <c r="C327" s="83" t="s">
        <v>105</v>
      </c>
      <c r="D327" s="70" t="s">
        <v>34</v>
      </c>
      <c r="E327" s="40">
        <v>1</v>
      </c>
    </row>
    <row r="328" customHeight="1" spans="1:5">
      <c r="A328" s="40" t="s">
        <v>5</v>
      </c>
      <c r="B328" s="70">
        <v>20170673</v>
      </c>
      <c r="C328" s="83" t="s">
        <v>106</v>
      </c>
      <c r="D328" s="70" t="s">
        <v>34</v>
      </c>
      <c r="E328" s="40">
        <v>1</v>
      </c>
    </row>
    <row r="329" customHeight="1" spans="1:5">
      <c r="A329" s="40" t="s">
        <v>5</v>
      </c>
      <c r="B329" s="70">
        <v>20180792</v>
      </c>
      <c r="C329" s="83" t="s">
        <v>107</v>
      </c>
      <c r="D329" s="70" t="s">
        <v>34</v>
      </c>
      <c r="E329" s="40">
        <v>1</v>
      </c>
    </row>
    <row r="330" customHeight="1" spans="1:5">
      <c r="A330" s="40" t="s">
        <v>5</v>
      </c>
      <c r="B330" s="70">
        <v>20210708</v>
      </c>
      <c r="C330" s="83" t="s">
        <v>108</v>
      </c>
      <c r="D330" s="70"/>
      <c r="E330" s="40">
        <v>1</v>
      </c>
    </row>
    <row r="331" customHeight="1" spans="1:5">
      <c r="A331" s="40" t="s">
        <v>5</v>
      </c>
      <c r="B331" s="39">
        <v>20170037</v>
      </c>
      <c r="C331" s="69" t="s">
        <v>49</v>
      </c>
      <c r="D331" s="39" t="s">
        <v>7</v>
      </c>
      <c r="E331" s="40">
        <v>1</v>
      </c>
    </row>
    <row r="332" customHeight="1" spans="1:5">
      <c r="A332" s="40" t="s">
        <v>5</v>
      </c>
      <c r="B332" s="39">
        <v>20170038</v>
      </c>
      <c r="C332" s="69" t="s">
        <v>109</v>
      </c>
      <c r="D332" s="39" t="s">
        <v>7</v>
      </c>
      <c r="E332" s="40">
        <v>1</v>
      </c>
    </row>
    <row r="333" customHeight="1" spans="1:5">
      <c r="A333" s="40" t="s">
        <v>5</v>
      </c>
      <c r="B333" s="39">
        <v>20210707</v>
      </c>
      <c r="C333" s="69" t="s">
        <v>108</v>
      </c>
      <c r="D333" s="39" t="s">
        <v>7</v>
      </c>
      <c r="E333" s="40">
        <v>1</v>
      </c>
    </row>
    <row r="334" customHeight="1" spans="1:5">
      <c r="A334" s="40" t="s">
        <v>5</v>
      </c>
      <c r="B334" s="70">
        <v>20170456</v>
      </c>
      <c r="C334" s="83" t="s">
        <v>110</v>
      </c>
      <c r="D334" s="70" t="s">
        <v>34</v>
      </c>
      <c r="E334" s="40">
        <v>1</v>
      </c>
    </row>
    <row r="335" customHeight="1" spans="1:5">
      <c r="A335" s="40" t="s">
        <v>5</v>
      </c>
      <c r="B335" s="70">
        <v>20170457</v>
      </c>
      <c r="C335" s="83" t="s">
        <v>111</v>
      </c>
      <c r="D335" s="70" t="s">
        <v>34</v>
      </c>
      <c r="E335" s="40">
        <v>1</v>
      </c>
    </row>
    <row r="336" customHeight="1" spans="1:5">
      <c r="A336" s="40" t="s">
        <v>5</v>
      </c>
      <c r="B336" s="70">
        <v>20170458</v>
      </c>
      <c r="C336" s="83" t="s">
        <v>112</v>
      </c>
      <c r="D336" s="70" t="s">
        <v>34</v>
      </c>
      <c r="E336" s="40">
        <v>1</v>
      </c>
    </row>
    <row r="337" customHeight="1" spans="1:5">
      <c r="A337" s="40" t="s">
        <v>5</v>
      </c>
      <c r="B337" s="70">
        <v>20201032</v>
      </c>
      <c r="C337" s="83" t="s">
        <v>113</v>
      </c>
      <c r="D337" s="70" t="s">
        <v>34</v>
      </c>
      <c r="E337" s="40">
        <v>1</v>
      </c>
    </row>
    <row r="338" customHeight="1" spans="1:5">
      <c r="A338" s="40" t="s">
        <v>5</v>
      </c>
      <c r="B338" s="70">
        <v>20210878</v>
      </c>
      <c r="C338" s="83" t="s">
        <v>114</v>
      </c>
      <c r="D338" s="70" t="s">
        <v>34</v>
      </c>
      <c r="E338" s="40">
        <v>1</v>
      </c>
    </row>
    <row r="339" customHeight="1" spans="1:5">
      <c r="A339" s="40" t="s">
        <v>5</v>
      </c>
      <c r="B339" s="70">
        <v>20210879</v>
      </c>
      <c r="C339" s="83" t="s">
        <v>115</v>
      </c>
      <c r="D339" s="70" t="s">
        <v>34</v>
      </c>
      <c r="E339" s="40">
        <v>1</v>
      </c>
    </row>
    <row r="340" customHeight="1" spans="1:5">
      <c r="A340" s="40" t="s">
        <v>5</v>
      </c>
      <c r="B340" s="70">
        <v>20220817</v>
      </c>
      <c r="C340" s="83" t="s">
        <v>116</v>
      </c>
      <c r="D340" s="70" t="s">
        <v>34</v>
      </c>
      <c r="E340" s="40">
        <v>1</v>
      </c>
    </row>
    <row r="341" customHeight="1" spans="1:5">
      <c r="A341" s="40" t="s">
        <v>5</v>
      </c>
      <c r="B341" s="70">
        <v>20220818</v>
      </c>
      <c r="C341" s="83" t="s">
        <v>116</v>
      </c>
      <c r="D341" s="70" t="s">
        <v>34</v>
      </c>
      <c r="E341" s="40">
        <v>1</v>
      </c>
    </row>
    <row r="342" customHeight="1" spans="1:5">
      <c r="A342" s="40" t="s">
        <v>5</v>
      </c>
      <c r="B342" s="70">
        <v>20200592</v>
      </c>
      <c r="C342" s="83" t="s">
        <v>117</v>
      </c>
      <c r="D342" s="70" t="s">
        <v>7</v>
      </c>
      <c r="E342" s="40">
        <v>1</v>
      </c>
    </row>
    <row r="343" customHeight="1" spans="1:5">
      <c r="A343" s="40" t="s">
        <v>5</v>
      </c>
      <c r="B343" s="70">
        <v>20200593</v>
      </c>
      <c r="C343" s="83" t="s">
        <v>117</v>
      </c>
      <c r="D343" s="70" t="s">
        <v>7</v>
      </c>
      <c r="E343" s="40">
        <v>1</v>
      </c>
    </row>
    <row r="344" customHeight="1" spans="1:5">
      <c r="A344" s="40" t="s">
        <v>5</v>
      </c>
      <c r="B344" s="70">
        <v>20200594</v>
      </c>
      <c r="C344" s="83" t="s">
        <v>117</v>
      </c>
      <c r="D344" s="70" t="s">
        <v>7</v>
      </c>
      <c r="E344" s="40">
        <v>1</v>
      </c>
    </row>
    <row r="345" customHeight="1" spans="1:5">
      <c r="A345" s="40" t="s">
        <v>5</v>
      </c>
      <c r="B345" s="70">
        <v>20200595</v>
      </c>
      <c r="C345" s="83" t="s">
        <v>117</v>
      </c>
      <c r="D345" s="70" t="s">
        <v>7</v>
      </c>
      <c r="E345" s="40">
        <v>1</v>
      </c>
    </row>
    <row r="346" customHeight="1" spans="1:5">
      <c r="A346" s="40" t="s">
        <v>5</v>
      </c>
      <c r="B346" s="70">
        <v>20200596</v>
      </c>
      <c r="C346" s="83" t="s">
        <v>117</v>
      </c>
      <c r="D346" s="70" t="s">
        <v>7</v>
      </c>
      <c r="E346" s="40">
        <v>1</v>
      </c>
    </row>
    <row r="347" customHeight="1" spans="1:5">
      <c r="A347" s="40" t="s">
        <v>5</v>
      </c>
      <c r="B347" s="70">
        <v>20200597</v>
      </c>
      <c r="C347" s="83" t="s">
        <v>117</v>
      </c>
      <c r="D347" s="70" t="s">
        <v>7</v>
      </c>
      <c r="E347" s="40">
        <v>1</v>
      </c>
    </row>
    <row r="348" customHeight="1" spans="1:5">
      <c r="A348" s="40" t="s">
        <v>5</v>
      </c>
      <c r="B348" s="70">
        <v>20200598</v>
      </c>
      <c r="C348" s="83" t="s">
        <v>117</v>
      </c>
      <c r="D348" s="70" t="s">
        <v>7</v>
      </c>
      <c r="E348" s="40">
        <v>1</v>
      </c>
    </row>
    <row r="349" customHeight="1" spans="1:5">
      <c r="A349" s="40" t="s">
        <v>5</v>
      </c>
      <c r="B349" s="70">
        <v>20200599</v>
      </c>
      <c r="C349" s="83" t="s">
        <v>117</v>
      </c>
      <c r="D349" s="70" t="s">
        <v>7</v>
      </c>
      <c r="E349" s="40">
        <v>1</v>
      </c>
    </row>
    <row r="350" customHeight="1" spans="1:5">
      <c r="A350" s="40" t="s">
        <v>5</v>
      </c>
      <c r="B350" s="70">
        <v>20200600</v>
      </c>
      <c r="C350" s="83" t="s">
        <v>117</v>
      </c>
      <c r="D350" s="70" t="s">
        <v>7</v>
      </c>
      <c r="E350" s="40">
        <v>1</v>
      </c>
    </row>
    <row r="351" customHeight="1" spans="1:5">
      <c r="A351" s="40" t="s">
        <v>5</v>
      </c>
      <c r="B351" s="70">
        <v>20200601</v>
      </c>
      <c r="C351" s="83" t="s">
        <v>117</v>
      </c>
      <c r="D351" s="70" t="s">
        <v>7</v>
      </c>
      <c r="E351" s="40">
        <v>1</v>
      </c>
    </row>
    <row r="352" customHeight="1" spans="1:5">
      <c r="A352" s="40" t="s">
        <v>5</v>
      </c>
      <c r="B352" s="70">
        <v>20200602</v>
      </c>
      <c r="C352" s="83" t="s">
        <v>117</v>
      </c>
      <c r="D352" s="70" t="s">
        <v>7</v>
      </c>
      <c r="E352" s="40">
        <v>1</v>
      </c>
    </row>
    <row r="353" customHeight="1" spans="1:5">
      <c r="A353" s="40" t="s">
        <v>5</v>
      </c>
      <c r="B353" s="70">
        <v>20200603</v>
      </c>
      <c r="C353" s="83" t="s">
        <v>117</v>
      </c>
      <c r="D353" s="70" t="s">
        <v>7</v>
      </c>
      <c r="E353" s="40">
        <v>1</v>
      </c>
    </row>
    <row r="354" customHeight="1" spans="1:5">
      <c r="A354" s="40" t="s">
        <v>5</v>
      </c>
      <c r="B354" s="70">
        <v>20200604</v>
      </c>
      <c r="C354" s="83" t="s">
        <v>117</v>
      </c>
      <c r="D354" s="70" t="s">
        <v>7</v>
      </c>
      <c r="E354" s="40">
        <v>1</v>
      </c>
    </row>
    <row r="355" customHeight="1" spans="1:5">
      <c r="A355" s="40" t="s">
        <v>5</v>
      </c>
      <c r="B355" s="70">
        <v>20200605</v>
      </c>
      <c r="C355" s="83" t="s">
        <v>117</v>
      </c>
      <c r="D355" s="70" t="s">
        <v>7</v>
      </c>
      <c r="E355" s="40">
        <v>1</v>
      </c>
    </row>
    <row r="356" customHeight="1" spans="1:5">
      <c r="A356" s="40" t="s">
        <v>5</v>
      </c>
      <c r="B356" s="70">
        <v>20200606</v>
      </c>
      <c r="C356" s="83" t="s">
        <v>117</v>
      </c>
      <c r="D356" s="70" t="s">
        <v>7</v>
      </c>
      <c r="E356" s="40">
        <v>1</v>
      </c>
    </row>
    <row r="357" customHeight="1" spans="1:5">
      <c r="A357" s="40" t="s">
        <v>5</v>
      </c>
      <c r="B357" s="70">
        <v>20200607</v>
      </c>
      <c r="C357" s="83" t="s">
        <v>117</v>
      </c>
      <c r="D357" s="70" t="s">
        <v>7</v>
      </c>
      <c r="E357" s="40">
        <v>1</v>
      </c>
    </row>
    <row r="358" customHeight="1" spans="1:5">
      <c r="A358" s="40" t="s">
        <v>5</v>
      </c>
      <c r="B358" s="70">
        <v>20200608</v>
      </c>
      <c r="C358" s="83" t="s">
        <v>117</v>
      </c>
      <c r="D358" s="70" t="s">
        <v>7</v>
      </c>
      <c r="E358" s="40">
        <v>1</v>
      </c>
    </row>
    <row r="359" customHeight="1" spans="1:5">
      <c r="A359" s="40" t="s">
        <v>5</v>
      </c>
      <c r="B359" s="70">
        <v>20200609</v>
      </c>
      <c r="C359" s="83" t="s">
        <v>117</v>
      </c>
      <c r="D359" s="70" t="s">
        <v>7</v>
      </c>
      <c r="E359" s="40">
        <v>1</v>
      </c>
    </row>
    <row r="360" customHeight="1" spans="1:5">
      <c r="A360" s="40" t="s">
        <v>5</v>
      </c>
      <c r="B360" s="70">
        <v>20200610</v>
      </c>
      <c r="C360" s="83" t="s">
        <v>117</v>
      </c>
      <c r="D360" s="70" t="s">
        <v>7</v>
      </c>
      <c r="E360" s="40">
        <v>1</v>
      </c>
    </row>
    <row r="361" customHeight="1" spans="1:5">
      <c r="A361" s="40" t="s">
        <v>5</v>
      </c>
      <c r="B361" s="70">
        <v>20200611</v>
      </c>
      <c r="C361" s="83" t="s">
        <v>117</v>
      </c>
      <c r="D361" s="70" t="s">
        <v>7</v>
      </c>
      <c r="E361" s="40">
        <v>1</v>
      </c>
    </row>
    <row r="362" customHeight="1" spans="1:5">
      <c r="A362" s="40" t="s">
        <v>5</v>
      </c>
      <c r="B362" s="70">
        <v>20200612</v>
      </c>
      <c r="C362" s="83" t="s">
        <v>117</v>
      </c>
      <c r="D362" s="70" t="s">
        <v>7</v>
      </c>
      <c r="E362" s="40">
        <v>1</v>
      </c>
    </row>
    <row r="363" customHeight="1" spans="1:5">
      <c r="A363" s="40" t="s">
        <v>5</v>
      </c>
      <c r="B363" s="70">
        <v>20200613</v>
      </c>
      <c r="C363" s="83" t="s">
        <v>117</v>
      </c>
      <c r="D363" s="70" t="s">
        <v>7</v>
      </c>
      <c r="E363" s="40">
        <v>1</v>
      </c>
    </row>
    <row r="364" customHeight="1" spans="1:5">
      <c r="A364" s="40" t="s">
        <v>5</v>
      </c>
      <c r="B364" s="70">
        <v>20200614</v>
      </c>
      <c r="C364" s="83" t="s">
        <v>117</v>
      </c>
      <c r="D364" s="70" t="s">
        <v>7</v>
      </c>
      <c r="E364" s="40">
        <v>1</v>
      </c>
    </row>
    <row r="365" customHeight="1" spans="1:5">
      <c r="A365" s="40" t="s">
        <v>5</v>
      </c>
      <c r="B365" s="70">
        <v>20200615</v>
      </c>
      <c r="C365" s="83" t="s">
        <v>117</v>
      </c>
      <c r="D365" s="70" t="s">
        <v>7</v>
      </c>
      <c r="E365" s="40">
        <v>1</v>
      </c>
    </row>
    <row r="366" customHeight="1" spans="1:5">
      <c r="A366" s="40" t="s">
        <v>5</v>
      </c>
      <c r="B366" s="70">
        <v>20200616</v>
      </c>
      <c r="C366" s="83" t="s">
        <v>117</v>
      </c>
      <c r="D366" s="70" t="s">
        <v>7</v>
      </c>
      <c r="E366" s="40">
        <v>1</v>
      </c>
    </row>
    <row r="367" customHeight="1" spans="1:5">
      <c r="A367" s="40" t="s">
        <v>5</v>
      </c>
      <c r="B367" s="70">
        <v>20200617</v>
      </c>
      <c r="C367" s="83" t="s">
        <v>117</v>
      </c>
      <c r="D367" s="70" t="s">
        <v>7</v>
      </c>
      <c r="E367" s="40">
        <v>1</v>
      </c>
    </row>
    <row r="368" customHeight="1" spans="1:5">
      <c r="A368" s="40" t="s">
        <v>5</v>
      </c>
      <c r="B368" s="70">
        <v>20200618</v>
      </c>
      <c r="C368" s="83" t="s">
        <v>117</v>
      </c>
      <c r="D368" s="70" t="s">
        <v>7</v>
      </c>
      <c r="E368" s="40">
        <v>1</v>
      </c>
    </row>
    <row r="369" customHeight="1" spans="1:5">
      <c r="A369" s="40" t="s">
        <v>5</v>
      </c>
      <c r="B369" s="70">
        <v>20200619</v>
      </c>
      <c r="C369" s="83" t="s">
        <v>117</v>
      </c>
      <c r="D369" s="70" t="s">
        <v>7</v>
      </c>
      <c r="E369" s="40">
        <v>1</v>
      </c>
    </row>
    <row r="370" customHeight="1" spans="1:5">
      <c r="A370" s="40" t="s">
        <v>5</v>
      </c>
      <c r="B370" s="70">
        <v>20200620</v>
      </c>
      <c r="C370" s="83" t="s">
        <v>117</v>
      </c>
      <c r="D370" s="70" t="s">
        <v>7</v>
      </c>
      <c r="E370" s="40">
        <v>1</v>
      </c>
    </row>
    <row r="371" customHeight="1" spans="1:5">
      <c r="A371" s="40" t="s">
        <v>5</v>
      </c>
      <c r="B371" s="70">
        <v>20200621</v>
      </c>
      <c r="C371" s="83" t="s">
        <v>117</v>
      </c>
      <c r="D371" s="70" t="s">
        <v>7</v>
      </c>
      <c r="E371" s="40">
        <v>1</v>
      </c>
    </row>
    <row r="372" customHeight="1" spans="1:5">
      <c r="A372" s="40" t="s">
        <v>5</v>
      </c>
      <c r="B372" s="70">
        <v>20200622</v>
      </c>
      <c r="C372" s="83" t="s">
        <v>117</v>
      </c>
      <c r="D372" s="70" t="s">
        <v>7</v>
      </c>
      <c r="E372" s="40">
        <v>1</v>
      </c>
    </row>
    <row r="373" customHeight="1" spans="1:5">
      <c r="A373" s="40" t="s">
        <v>5</v>
      </c>
      <c r="B373" s="70">
        <v>20200623</v>
      </c>
      <c r="C373" s="83" t="s">
        <v>117</v>
      </c>
      <c r="D373" s="70" t="s">
        <v>7</v>
      </c>
      <c r="E373" s="40">
        <v>1</v>
      </c>
    </row>
    <row r="374" customHeight="1" spans="1:5">
      <c r="A374" s="40" t="s">
        <v>5</v>
      </c>
      <c r="B374" s="70">
        <v>20200624</v>
      </c>
      <c r="C374" s="83" t="s">
        <v>117</v>
      </c>
      <c r="D374" s="70" t="s">
        <v>7</v>
      </c>
      <c r="E374" s="40">
        <v>1</v>
      </c>
    </row>
    <row r="375" customHeight="1" spans="1:5">
      <c r="A375" s="40" t="s">
        <v>5</v>
      </c>
      <c r="B375" s="70">
        <v>20200625</v>
      </c>
      <c r="C375" s="83" t="s">
        <v>117</v>
      </c>
      <c r="D375" s="70" t="s">
        <v>7</v>
      </c>
      <c r="E375" s="40">
        <v>1</v>
      </c>
    </row>
    <row r="376" customHeight="1" spans="1:5">
      <c r="A376" s="40" t="s">
        <v>5</v>
      </c>
      <c r="B376" s="70">
        <v>20200626</v>
      </c>
      <c r="C376" s="83" t="s">
        <v>117</v>
      </c>
      <c r="D376" s="70" t="s">
        <v>7</v>
      </c>
      <c r="E376" s="40">
        <v>1</v>
      </c>
    </row>
    <row r="377" customHeight="1" spans="1:5">
      <c r="A377" s="40" t="s">
        <v>5</v>
      </c>
      <c r="B377" s="70">
        <v>20200627</v>
      </c>
      <c r="C377" s="83" t="s">
        <v>117</v>
      </c>
      <c r="D377" s="70" t="s">
        <v>7</v>
      </c>
      <c r="E377" s="40">
        <v>1</v>
      </c>
    </row>
    <row r="378" customHeight="1" spans="1:5">
      <c r="A378" s="40" t="s">
        <v>5</v>
      </c>
      <c r="B378" s="70">
        <v>20200628</v>
      </c>
      <c r="C378" s="83" t="s">
        <v>117</v>
      </c>
      <c r="D378" s="70" t="s">
        <v>7</v>
      </c>
      <c r="E378" s="40">
        <v>1</v>
      </c>
    </row>
    <row r="379" customHeight="1" spans="1:5">
      <c r="A379" s="40" t="s">
        <v>5</v>
      </c>
      <c r="B379" s="70">
        <v>20200629</v>
      </c>
      <c r="C379" s="83" t="s">
        <v>117</v>
      </c>
      <c r="D379" s="70" t="s">
        <v>7</v>
      </c>
      <c r="E379" s="40">
        <v>1</v>
      </c>
    </row>
    <row r="380" customHeight="1" spans="1:5">
      <c r="A380" s="40" t="s">
        <v>5</v>
      </c>
      <c r="B380" s="70">
        <v>20200630</v>
      </c>
      <c r="C380" s="83" t="s">
        <v>117</v>
      </c>
      <c r="D380" s="70" t="s">
        <v>7</v>
      </c>
      <c r="E380" s="40">
        <v>1</v>
      </c>
    </row>
    <row r="381" customHeight="1" spans="1:5">
      <c r="A381" s="40" t="s">
        <v>5</v>
      </c>
      <c r="B381" s="70">
        <v>20200631</v>
      </c>
      <c r="C381" s="83" t="s">
        <v>117</v>
      </c>
      <c r="D381" s="70" t="s">
        <v>7</v>
      </c>
      <c r="E381" s="40">
        <v>1</v>
      </c>
    </row>
    <row r="382" customHeight="1" spans="1:5">
      <c r="A382" s="40" t="s">
        <v>5</v>
      </c>
      <c r="B382" s="70">
        <v>20200632</v>
      </c>
      <c r="C382" s="83" t="s">
        <v>118</v>
      </c>
      <c r="D382" s="70" t="s">
        <v>7</v>
      </c>
      <c r="E382" s="40">
        <v>1</v>
      </c>
    </row>
    <row r="383" customHeight="1" spans="1:5">
      <c r="A383" s="40" t="s">
        <v>5</v>
      </c>
      <c r="B383" s="70">
        <v>20200633</v>
      </c>
      <c r="C383" s="83" t="s">
        <v>118</v>
      </c>
      <c r="D383" s="70" t="s">
        <v>7</v>
      </c>
      <c r="E383" s="40">
        <v>1</v>
      </c>
    </row>
    <row r="384" customHeight="1" spans="1:5">
      <c r="A384" s="40" t="s">
        <v>5</v>
      </c>
      <c r="B384" s="70">
        <v>20210009</v>
      </c>
      <c r="C384" s="83" t="s">
        <v>119</v>
      </c>
      <c r="D384" s="70" t="s">
        <v>7</v>
      </c>
      <c r="E384" s="40">
        <v>1</v>
      </c>
    </row>
    <row r="385" customHeight="1" spans="1:5">
      <c r="A385" s="40" t="s">
        <v>5</v>
      </c>
      <c r="B385" s="70">
        <v>20210010</v>
      </c>
      <c r="C385" s="83" t="s">
        <v>120</v>
      </c>
      <c r="D385" s="70" t="s">
        <v>7</v>
      </c>
      <c r="E385" s="40">
        <v>1</v>
      </c>
    </row>
    <row r="386" customHeight="1" spans="1:5">
      <c r="A386" s="40" t="s">
        <v>5</v>
      </c>
      <c r="B386" s="70">
        <v>20210829</v>
      </c>
      <c r="C386" s="83" t="s">
        <v>103</v>
      </c>
      <c r="D386" s="70" t="s">
        <v>7</v>
      </c>
      <c r="E386" s="40">
        <v>1</v>
      </c>
    </row>
    <row r="387" customHeight="1" spans="1:5">
      <c r="A387" s="40" t="s">
        <v>5</v>
      </c>
      <c r="B387" s="70">
        <v>20210830</v>
      </c>
      <c r="C387" s="83" t="s">
        <v>103</v>
      </c>
      <c r="D387" s="70" t="s">
        <v>7</v>
      </c>
      <c r="E387" s="40">
        <v>1</v>
      </c>
    </row>
    <row r="388" customHeight="1" spans="1:5">
      <c r="A388" s="40" t="s">
        <v>5</v>
      </c>
      <c r="B388" s="70">
        <v>20210831</v>
      </c>
      <c r="C388" s="83" t="s">
        <v>103</v>
      </c>
      <c r="D388" s="70" t="s">
        <v>7</v>
      </c>
      <c r="E388" s="40">
        <v>1</v>
      </c>
    </row>
    <row r="389" customHeight="1" spans="1:5">
      <c r="A389" s="40" t="s">
        <v>5</v>
      </c>
      <c r="B389" s="70">
        <v>20210832</v>
      </c>
      <c r="C389" s="83" t="s">
        <v>103</v>
      </c>
      <c r="D389" s="70" t="s">
        <v>7</v>
      </c>
      <c r="E389" s="40">
        <v>1</v>
      </c>
    </row>
    <row r="390" customHeight="1" spans="1:5">
      <c r="A390" s="40" t="s">
        <v>5</v>
      </c>
      <c r="B390" s="70">
        <v>20210833</v>
      </c>
      <c r="C390" s="83" t="s">
        <v>103</v>
      </c>
      <c r="D390" s="70" t="s">
        <v>7</v>
      </c>
      <c r="E390" s="40">
        <v>1</v>
      </c>
    </row>
    <row r="391" customHeight="1" spans="1:5">
      <c r="A391" s="40" t="s">
        <v>5</v>
      </c>
      <c r="B391" s="70">
        <v>20210834</v>
      </c>
      <c r="C391" s="83" t="s">
        <v>103</v>
      </c>
      <c r="D391" s="70" t="s">
        <v>7</v>
      </c>
      <c r="E391" s="40">
        <v>1</v>
      </c>
    </row>
    <row r="392" customHeight="1" spans="1:5">
      <c r="A392" s="40" t="s">
        <v>5</v>
      </c>
      <c r="B392" s="70">
        <v>20210835</v>
      </c>
      <c r="C392" s="83" t="s">
        <v>103</v>
      </c>
      <c r="D392" s="70" t="s">
        <v>7</v>
      </c>
      <c r="E392" s="40">
        <v>1</v>
      </c>
    </row>
    <row r="393" customHeight="1" spans="1:5">
      <c r="A393" s="40" t="s">
        <v>5</v>
      </c>
      <c r="B393" s="70">
        <v>20210836</v>
      </c>
      <c r="C393" s="83" t="s">
        <v>103</v>
      </c>
      <c r="D393" s="70" t="s">
        <v>7</v>
      </c>
      <c r="E393" s="40">
        <v>1</v>
      </c>
    </row>
    <row r="394" customHeight="1" spans="1:5">
      <c r="A394" s="40" t="s">
        <v>5</v>
      </c>
      <c r="B394" s="70">
        <v>20210837</v>
      </c>
      <c r="C394" s="83" t="s">
        <v>103</v>
      </c>
      <c r="D394" s="70" t="s">
        <v>7</v>
      </c>
      <c r="E394" s="40">
        <v>1</v>
      </c>
    </row>
    <row r="395" customHeight="1" spans="1:5">
      <c r="A395" s="40" t="s">
        <v>5</v>
      </c>
      <c r="B395" s="70">
        <v>20210838</v>
      </c>
      <c r="C395" s="83" t="s">
        <v>103</v>
      </c>
      <c r="D395" s="70" t="s">
        <v>7</v>
      </c>
      <c r="E395" s="40">
        <v>1</v>
      </c>
    </row>
    <row r="396" customHeight="1" spans="1:5">
      <c r="A396" s="40" t="s">
        <v>5</v>
      </c>
      <c r="B396" s="70">
        <v>20140779</v>
      </c>
      <c r="C396" s="83" t="s">
        <v>49</v>
      </c>
      <c r="D396" s="70" t="s">
        <v>7</v>
      </c>
      <c r="E396" s="40">
        <v>1</v>
      </c>
    </row>
    <row r="397" customHeight="1" spans="1:5">
      <c r="A397" s="40" t="s">
        <v>5</v>
      </c>
      <c r="B397" s="70">
        <v>20190811</v>
      </c>
      <c r="C397" s="83" t="s">
        <v>96</v>
      </c>
      <c r="D397" s="70" t="s">
        <v>7</v>
      </c>
      <c r="E397" s="40">
        <v>1</v>
      </c>
    </row>
    <row r="398" customHeight="1" spans="1:5">
      <c r="A398" s="40" t="s">
        <v>5</v>
      </c>
      <c r="B398" s="70">
        <v>20140729</v>
      </c>
      <c r="C398" s="83" t="s">
        <v>121</v>
      </c>
      <c r="D398" s="70" t="s">
        <v>7</v>
      </c>
      <c r="E398" s="40">
        <v>1</v>
      </c>
    </row>
    <row r="399" customHeight="1" spans="1:5">
      <c r="A399" s="40" t="s">
        <v>5</v>
      </c>
      <c r="B399" s="70">
        <v>20140730</v>
      </c>
      <c r="C399" s="83" t="s">
        <v>121</v>
      </c>
      <c r="D399" s="70" t="s">
        <v>7</v>
      </c>
      <c r="E399" s="40">
        <v>1</v>
      </c>
    </row>
    <row r="400" customHeight="1" spans="1:5">
      <c r="A400" s="40" t="s">
        <v>5</v>
      </c>
      <c r="B400" s="70">
        <v>20160504</v>
      </c>
      <c r="C400" s="83" t="s">
        <v>122</v>
      </c>
      <c r="D400" s="70" t="s">
        <v>7</v>
      </c>
      <c r="E400" s="40">
        <v>1</v>
      </c>
    </row>
    <row r="401" customHeight="1" spans="1:5">
      <c r="A401" s="40" t="s">
        <v>5</v>
      </c>
      <c r="B401" s="70">
        <v>20140723</v>
      </c>
      <c r="C401" s="83" t="s">
        <v>121</v>
      </c>
      <c r="D401" s="70" t="s">
        <v>7</v>
      </c>
      <c r="E401" s="40">
        <v>1</v>
      </c>
    </row>
    <row r="402" customHeight="1" spans="1:5">
      <c r="A402" s="40" t="s">
        <v>5</v>
      </c>
      <c r="B402" s="70">
        <v>20140724</v>
      </c>
      <c r="C402" s="83" t="s">
        <v>121</v>
      </c>
      <c r="D402" s="70" t="s">
        <v>7</v>
      </c>
      <c r="E402" s="40">
        <v>1</v>
      </c>
    </row>
    <row r="403" customHeight="1" spans="1:5">
      <c r="A403" s="40" t="s">
        <v>5</v>
      </c>
      <c r="B403" s="70">
        <v>20140727</v>
      </c>
      <c r="C403" s="83" t="s">
        <v>121</v>
      </c>
      <c r="D403" s="70" t="s">
        <v>7</v>
      </c>
      <c r="E403" s="40">
        <v>1</v>
      </c>
    </row>
    <row r="404" customHeight="1" spans="1:5">
      <c r="A404" s="40" t="s">
        <v>5</v>
      </c>
      <c r="B404" s="70">
        <v>20140728</v>
      </c>
      <c r="C404" s="83" t="s">
        <v>121</v>
      </c>
      <c r="D404" s="70" t="s">
        <v>7</v>
      </c>
      <c r="E404" s="40">
        <v>1</v>
      </c>
    </row>
    <row r="405" customHeight="1" spans="1:5">
      <c r="A405" s="40" t="s">
        <v>5</v>
      </c>
      <c r="B405" s="70">
        <v>20140725</v>
      </c>
      <c r="C405" s="83" t="s">
        <v>121</v>
      </c>
      <c r="D405" s="70" t="s">
        <v>7</v>
      </c>
      <c r="E405" s="40">
        <v>1</v>
      </c>
    </row>
    <row r="406" customHeight="1" spans="1:5">
      <c r="A406" s="40" t="s">
        <v>5</v>
      </c>
      <c r="B406" s="70">
        <v>20140726</v>
      </c>
      <c r="C406" s="83" t="s">
        <v>121</v>
      </c>
      <c r="D406" s="70" t="s">
        <v>7</v>
      </c>
      <c r="E406" s="40">
        <v>1</v>
      </c>
    </row>
    <row r="407" customHeight="1" spans="1:5">
      <c r="A407" s="40" t="s">
        <v>5</v>
      </c>
      <c r="B407" s="70">
        <v>20230521</v>
      </c>
      <c r="C407" s="83" t="s">
        <v>94</v>
      </c>
      <c r="D407" s="70" t="s">
        <v>7</v>
      </c>
      <c r="E407" s="40">
        <v>1</v>
      </c>
    </row>
    <row r="408" customHeight="1" spans="1:5">
      <c r="A408" s="40" t="s">
        <v>5</v>
      </c>
      <c r="B408" s="70">
        <v>20230745</v>
      </c>
      <c r="C408" s="83" t="s">
        <v>123</v>
      </c>
      <c r="D408" s="70" t="s">
        <v>7</v>
      </c>
      <c r="E408" s="40">
        <v>1</v>
      </c>
    </row>
    <row r="409" customHeight="1" spans="1:5">
      <c r="A409" s="40" t="s">
        <v>5</v>
      </c>
      <c r="B409" s="70">
        <v>20230746</v>
      </c>
      <c r="C409" s="83" t="s">
        <v>123</v>
      </c>
      <c r="D409" s="70" t="s">
        <v>7</v>
      </c>
      <c r="E409" s="40">
        <v>1</v>
      </c>
    </row>
    <row r="410" customHeight="1" spans="1:5">
      <c r="A410" s="40" t="s">
        <v>5</v>
      </c>
      <c r="B410" s="70">
        <v>20230747</v>
      </c>
      <c r="C410" s="83" t="s">
        <v>123</v>
      </c>
      <c r="D410" s="70" t="s">
        <v>7</v>
      </c>
      <c r="E410" s="40">
        <v>1</v>
      </c>
    </row>
    <row r="411" customHeight="1" spans="1:5">
      <c r="A411" s="40" t="s">
        <v>5</v>
      </c>
      <c r="B411" s="70">
        <v>20230748</v>
      </c>
      <c r="C411" s="83" t="s">
        <v>123</v>
      </c>
      <c r="D411" s="70" t="s">
        <v>7</v>
      </c>
      <c r="E411" s="40">
        <v>1</v>
      </c>
    </row>
    <row r="412" customHeight="1" spans="1:5">
      <c r="A412" s="40" t="s">
        <v>5</v>
      </c>
      <c r="B412" s="70">
        <v>20230749</v>
      </c>
      <c r="C412" s="83" t="s">
        <v>123</v>
      </c>
      <c r="D412" s="70" t="s">
        <v>7</v>
      </c>
      <c r="E412" s="40">
        <v>1</v>
      </c>
    </row>
    <row r="413" customHeight="1" spans="1:5">
      <c r="A413" s="40" t="s">
        <v>5</v>
      </c>
      <c r="B413" s="70">
        <v>20230750</v>
      </c>
      <c r="C413" s="83" t="s">
        <v>123</v>
      </c>
      <c r="D413" s="70" t="s">
        <v>7</v>
      </c>
      <c r="E413" s="40">
        <v>1</v>
      </c>
    </row>
    <row r="414" customHeight="1" spans="1:5">
      <c r="A414" s="40" t="s">
        <v>5</v>
      </c>
      <c r="B414" s="70">
        <v>20230751</v>
      </c>
      <c r="C414" s="83" t="s">
        <v>123</v>
      </c>
      <c r="D414" s="70" t="s">
        <v>7</v>
      </c>
      <c r="E414" s="40">
        <v>1</v>
      </c>
    </row>
    <row r="415" customHeight="1" spans="1:5">
      <c r="A415" s="40" t="s">
        <v>5</v>
      </c>
      <c r="B415" s="70">
        <v>20230773</v>
      </c>
      <c r="C415" s="83" t="s">
        <v>124</v>
      </c>
      <c r="D415" s="70" t="s">
        <v>7</v>
      </c>
      <c r="E415" s="40">
        <v>1</v>
      </c>
    </row>
    <row r="416" customHeight="1" spans="1:5">
      <c r="A416" s="40" t="s">
        <v>5</v>
      </c>
      <c r="B416" s="70">
        <v>20230774</v>
      </c>
      <c r="C416" s="83" t="s">
        <v>123</v>
      </c>
      <c r="D416" s="70" t="s">
        <v>7</v>
      </c>
      <c r="E416" s="40">
        <v>1</v>
      </c>
    </row>
    <row r="417" customHeight="1" spans="1:5">
      <c r="A417" s="40" t="s">
        <v>5</v>
      </c>
      <c r="B417" s="70">
        <v>20230775</v>
      </c>
      <c r="C417" s="83" t="s">
        <v>123</v>
      </c>
      <c r="D417" s="70" t="s">
        <v>7</v>
      </c>
      <c r="E417" s="40">
        <v>1</v>
      </c>
    </row>
    <row r="418" customHeight="1" spans="1:5">
      <c r="A418" s="40" t="s">
        <v>5</v>
      </c>
      <c r="B418" s="70">
        <v>20230776</v>
      </c>
      <c r="C418" s="83" t="s">
        <v>123</v>
      </c>
      <c r="D418" s="70" t="s">
        <v>7</v>
      </c>
      <c r="E418" s="40">
        <v>1</v>
      </c>
    </row>
    <row r="419" customHeight="1" spans="1:5">
      <c r="A419" s="40" t="s">
        <v>5</v>
      </c>
      <c r="B419" s="70">
        <v>20230777</v>
      </c>
      <c r="C419" s="83" t="s">
        <v>123</v>
      </c>
      <c r="D419" s="70" t="s">
        <v>7</v>
      </c>
      <c r="E419" s="40">
        <v>1</v>
      </c>
    </row>
    <row r="420" customHeight="1" spans="1:5">
      <c r="A420" s="40" t="s">
        <v>5</v>
      </c>
      <c r="B420" s="70">
        <v>20230778</v>
      </c>
      <c r="C420" s="83" t="s">
        <v>123</v>
      </c>
      <c r="D420" s="70" t="s">
        <v>7</v>
      </c>
      <c r="E420" s="40">
        <v>1</v>
      </c>
    </row>
    <row r="421" customHeight="1" spans="1:5">
      <c r="A421" s="40" t="s">
        <v>5</v>
      </c>
      <c r="B421" s="70">
        <v>20230779</v>
      </c>
      <c r="C421" s="83" t="s">
        <v>123</v>
      </c>
      <c r="D421" s="70" t="s">
        <v>7</v>
      </c>
      <c r="E421" s="40">
        <v>1</v>
      </c>
    </row>
    <row r="422" customHeight="1" spans="1:5">
      <c r="A422" s="40" t="s">
        <v>5</v>
      </c>
      <c r="B422" s="70">
        <v>20230780</v>
      </c>
      <c r="C422" s="83" t="s">
        <v>123</v>
      </c>
      <c r="D422" s="70" t="s">
        <v>7</v>
      </c>
      <c r="E422" s="40">
        <v>1</v>
      </c>
    </row>
    <row r="423" customHeight="1" spans="1:5">
      <c r="A423" s="40" t="s">
        <v>5</v>
      </c>
      <c r="B423" s="70">
        <v>20230781</v>
      </c>
      <c r="C423" s="83" t="s">
        <v>123</v>
      </c>
      <c r="D423" s="70" t="s">
        <v>7</v>
      </c>
      <c r="E423" s="40">
        <v>1</v>
      </c>
    </row>
    <row r="424" customHeight="1" spans="1:5">
      <c r="A424" s="40" t="s">
        <v>5</v>
      </c>
      <c r="B424" s="70">
        <v>20230782</v>
      </c>
      <c r="C424" s="83" t="s">
        <v>123</v>
      </c>
      <c r="D424" s="70" t="s">
        <v>7</v>
      </c>
      <c r="E424" s="40">
        <v>1</v>
      </c>
    </row>
    <row r="425" customHeight="1" spans="1:5">
      <c r="A425" s="40" t="s">
        <v>5</v>
      </c>
      <c r="B425" s="70">
        <v>20230783</v>
      </c>
      <c r="C425" s="83" t="s">
        <v>123</v>
      </c>
      <c r="D425" s="70" t="s">
        <v>7</v>
      </c>
      <c r="E425" s="40">
        <v>1</v>
      </c>
    </row>
    <row r="426" customHeight="1" spans="1:5">
      <c r="A426" s="40" t="s">
        <v>5</v>
      </c>
      <c r="B426" s="70">
        <v>20230784</v>
      </c>
      <c r="C426" s="83" t="s">
        <v>123</v>
      </c>
      <c r="D426" s="70" t="s">
        <v>7</v>
      </c>
      <c r="E426" s="40">
        <v>1</v>
      </c>
    </row>
    <row r="427" customHeight="1" spans="1:5">
      <c r="A427" s="40" t="s">
        <v>5</v>
      </c>
      <c r="B427" s="70">
        <v>20230785</v>
      </c>
      <c r="C427" s="83" t="s">
        <v>123</v>
      </c>
      <c r="D427" s="70" t="s">
        <v>7</v>
      </c>
      <c r="E427" s="40">
        <v>1</v>
      </c>
    </row>
    <row r="428" customHeight="1" spans="1:5">
      <c r="A428" s="40" t="s">
        <v>5</v>
      </c>
      <c r="B428" s="70">
        <v>20230786</v>
      </c>
      <c r="C428" s="83" t="s">
        <v>123</v>
      </c>
      <c r="D428" s="70" t="s">
        <v>7</v>
      </c>
      <c r="E428" s="40">
        <v>1</v>
      </c>
    </row>
    <row r="429" customHeight="1" spans="1:5">
      <c r="A429" s="40" t="s">
        <v>5</v>
      </c>
      <c r="B429" s="70">
        <v>20230787</v>
      </c>
      <c r="C429" s="83" t="s">
        <v>123</v>
      </c>
      <c r="D429" s="70" t="s">
        <v>7</v>
      </c>
      <c r="E429" s="40">
        <v>1</v>
      </c>
    </row>
    <row r="430" customHeight="1" spans="1:5">
      <c r="A430" s="40" t="s">
        <v>5</v>
      </c>
      <c r="B430" s="70">
        <v>20230788</v>
      </c>
      <c r="C430" s="83" t="s">
        <v>123</v>
      </c>
      <c r="D430" s="70" t="s">
        <v>7</v>
      </c>
      <c r="E430" s="40">
        <v>1</v>
      </c>
    </row>
    <row r="431" customHeight="1" spans="1:5">
      <c r="A431" s="40" t="s">
        <v>5</v>
      </c>
      <c r="B431" s="70">
        <v>20230789</v>
      </c>
      <c r="C431" s="83" t="s">
        <v>123</v>
      </c>
      <c r="D431" s="70" t="s">
        <v>7</v>
      </c>
      <c r="E431" s="40">
        <v>1</v>
      </c>
    </row>
    <row r="432" customHeight="1" spans="1:5">
      <c r="A432" s="40" t="s">
        <v>5</v>
      </c>
      <c r="B432" s="70">
        <v>20230790</v>
      </c>
      <c r="C432" s="83" t="s">
        <v>123</v>
      </c>
      <c r="D432" s="70" t="s">
        <v>7</v>
      </c>
      <c r="E432" s="40">
        <v>1</v>
      </c>
    </row>
    <row r="433" customHeight="1" spans="1:5">
      <c r="A433" s="40" t="s">
        <v>5</v>
      </c>
      <c r="B433" s="70">
        <v>20230791</v>
      </c>
      <c r="C433" s="83" t="s">
        <v>123</v>
      </c>
      <c r="D433" s="70" t="s">
        <v>7</v>
      </c>
      <c r="E433" s="40">
        <v>1</v>
      </c>
    </row>
    <row r="434" customHeight="1" spans="1:5">
      <c r="A434" s="40" t="s">
        <v>5</v>
      </c>
      <c r="B434" s="70">
        <v>20230792</v>
      </c>
      <c r="C434" s="83" t="s">
        <v>123</v>
      </c>
      <c r="D434" s="70" t="s">
        <v>7</v>
      </c>
      <c r="E434" s="40">
        <v>1</v>
      </c>
    </row>
    <row r="435" customHeight="1" spans="1:5">
      <c r="A435" s="40" t="s">
        <v>5</v>
      </c>
      <c r="B435" s="70">
        <v>20230793</v>
      </c>
      <c r="C435" s="83" t="s">
        <v>123</v>
      </c>
      <c r="D435" s="70" t="s">
        <v>7</v>
      </c>
      <c r="E435" s="40">
        <v>1</v>
      </c>
    </row>
    <row r="436" customHeight="1" spans="1:5">
      <c r="A436" s="40" t="s">
        <v>5</v>
      </c>
      <c r="B436" s="70">
        <v>20230794</v>
      </c>
      <c r="C436" s="83" t="s">
        <v>123</v>
      </c>
      <c r="D436" s="70" t="s">
        <v>7</v>
      </c>
      <c r="E436" s="40">
        <v>1</v>
      </c>
    </row>
    <row r="437" customHeight="1" spans="1:5">
      <c r="A437" s="40" t="s">
        <v>5</v>
      </c>
      <c r="B437" s="70">
        <v>20230795</v>
      </c>
      <c r="C437" s="83" t="s">
        <v>123</v>
      </c>
      <c r="D437" s="70" t="s">
        <v>7</v>
      </c>
      <c r="E437" s="40">
        <v>1</v>
      </c>
    </row>
    <row r="438" customHeight="1" spans="1:5">
      <c r="A438" s="40" t="s">
        <v>5</v>
      </c>
      <c r="B438" s="70">
        <v>20230796</v>
      </c>
      <c r="C438" s="83" t="s">
        <v>123</v>
      </c>
      <c r="D438" s="70" t="s">
        <v>7</v>
      </c>
      <c r="E438" s="40">
        <v>1</v>
      </c>
    </row>
    <row r="439" customHeight="1" spans="1:5">
      <c r="A439" s="40" t="s">
        <v>5</v>
      </c>
      <c r="B439" s="70">
        <v>20230797</v>
      </c>
      <c r="C439" s="83" t="s">
        <v>123</v>
      </c>
      <c r="D439" s="70" t="s">
        <v>7</v>
      </c>
      <c r="E439" s="40">
        <v>1</v>
      </c>
    </row>
    <row r="440" customHeight="1" spans="1:5">
      <c r="A440" s="40" t="s">
        <v>5</v>
      </c>
      <c r="B440" s="70">
        <v>20230961</v>
      </c>
      <c r="C440" s="83" t="s">
        <v>123</v>
      </c>
      <c r="D440" s="70" t="s">
        <v>7</v>
      </c>
      <c r="E440" s="40">
        <v>1</v>
      </c>
    </row>
    <row r="441" customHeight="1" spans="1:5">
      <c r="A441" s="40" t="s">
        <v>5</v>
      </c>
      <c r="B441" s="70">
        <v>20230962</v>
      </c>
      <c r="C441" s="83" t="s">
        <v>123</v>
      </c>
      <c r="D441" s="70" t="s">
        <v>7</v>
      </c>
      <c r="E441" s="40">
        <v>1</v>
      </c>
    </row>
    <row r="442" customHeight="1" spans="1:5">
      <c r="A442" s="40" t="s">
        <v>5</v>
      </c>
      <c r="B442" s="70">
        <v>20230963</v>
      </c>
      <c r="C442" s="83" t="s">
        <v>123</v>
      </c>
      <c r="D442" s="70" t="s">
        <v>7</v>
      </c>
      <c r="E442" s="40">
        <v>1</v>
      </c>
    </row>
    <row r="443" customHeight="1" spans="1:5">
      <c r="A443" s="40" t="s">
        <v>5</v>
      </c>
      <c r="B443" s="70">
        <v>20230964</v>
      </c>
      <c r="C443" s="83" t="s">
        <v>123</v>
      </c>
      <c r="D443" s="70" t="s">
        <v>7</v>
      </c>
      <c r="E443" s="40">
        <v>1</v>
      </c>
    </row>
    <row r="444" customHeight="1" spans="1:5">
      <c r="A444" s="40" t="s">
        <v>5</v>
      </c>
      <c r="B444" s="70">
        <v>20230965</v>
      </c>
      <c r="C444" s="83" t="s">
        <v>123</v>
      </c>
      <c r="D444" s="70" t="s">
        <v>7</v>
      </c>
      <c r="E444" s="40">
        <v>1</v>
      </c>
    </row>
    <row r="445" customHeight="1" spans="1:5">
      <c r="A445" s="40" t="s">
        <v>5</v>
      </c>
      <c r="B445" s="70">
        <v>20230966</v>
      </c>
      <c r="C445" s="83" t="s">
        <v>123</v>
      </c>
      <c r="D445" s="70" t="s">
        <v>7</v>
      </c>
      <c r="E445" s="40">
        <v>1</v>
      </c>
    </row>
    <row r="446" customHeight="1" spans="1:5">
      <c r="A446" s="40" t="s">
        <v>5</v>
      </c>
      <c r="B446" s="70">
        <v>20230967</v>
      </c>
      <c r="C446" s="83" t="s">
        <v>123</v>
      </c>
      <c r="D446" s="70" t="s">
        <v>7</v>
      </c>
      <c r="E446" s="40">
        <v>1</v>
      </c>
    </row>
    <row r="447" customHeight="1" spans="1:5">
      <c r="A447" s="40" t="s">
        <v>5</v>
      </c>
      <c r="B447" s="70">
        <v>20230968</v>
      </c>
      <c r="C447" s="83" t="s">
        <v>123</v>
      </c>
      <c r="D447" s="70" t="s">
        <v>7</v>
      </c>
      <c r="E447" s="40">
        <v>1</v>
      </c>
    </row>
    <row r="448" customHeight="1" spans="1:5">
      <c r="A448" s="40" t="s">
        <v>5</v>
      </c>
      <c r="B448" s="70">
        <v>20230969</v>
      </c>
      <c r="C448" s="83" t="s">
        <v>123</v>
      </c>
      <c r="D448" s="70" t="s">
        <v>7</v>
      </c>
      <c r="E448" s="40">
        <v>1</v>
      </c>
    </row>
    <row r="449" customHeight="1" spans="1:5">
      <c r="A449" s="40" t="s">
        <v>5</v>
      </c>
      <c r="B449" s="70">
        <v>20230970</v>
      </c>
      <c r="C449" s="83" t="s">
        <v>123</v>
      </c>
      <c r="D449" s="70" t="s">
        <v>7</v>
      </c>
      <c r="E449" s="40">
        <v>1</v>
      </c>
    </row>
    <row r="450" customHeight="1" spans="1:5">
      <c r="A450" s="40" t="s">
        <v>5</v>
      </c>
      <c r="B450" s="70">
        <v>20230971</v>
      </c>
      <c r="C450" s="83" t="s">
        <v>123</v>
      </c>
      <c r="D450" s="70" t="s">
        <v>7</v>
      </c>
      <c r="E450" s="40">
        <v>1</v>
      </c>
    </row>
    <row r="451" customHeight="1" spans="1:5">
      <c r="A451" s="40" t="s">
        <v>5</v>
      </c>
      <c r="B451" s="70">
        <v>20230972</v>
      </c>
      <c r="C451" s="83" t="s">
        <v>123</v>
      </c>
      <c r="D451" s="70" t="s">
        <v>7</v>
      </c>
      <c r="E451" s="40">
        <v>1</v>
      </c>
    </row>
    <row r="452" customHeight="1" spans="1:5">
      <c r="A452" s="40" t="s">
        <v>5</v>
      </c>
      <c r="B452" s="70">
        <v>20230973</v>
      </c>
      <c r="C452" s="83" t="s">
        <v>123</v>
      </c>
      <c r="D452" s="70" t="s">
        <v>7</v>
      </c>
      <c r="E452" s="40">
        <v>1</v>
      </c>
    </row>
    <row r="453" customHeight="1" spans="1:5">
      <c r="A453" s="40" t="s">
        <v>5</v>
      </c>
      <c r="B453" s="70">
        <v>20230974</v>
      </c>
      <c r="C453" s="83" t="s">
        <v>123</v>
      </c>
      <c r="D453" s="70" t="s">
        <v>7</v>
      </c>
      <c r="E453" s="40">
        <v>1</v>
      </c>
    </row>
    <row r="454" customHeight="1" spans="1:5">
      <c r="A454" s="40" t="s">
        <v>5</v>
      </c>
      <c r="B454" s="70">
        <v>20230975</v>
      </c>
      <c r="C454" s="83" t="s">
        <v>123</v>
      </c>
      <c r="D454" s="70" t="s">
        <v>7</v>
      </c>
      <c r="E454" s="40">
        <v>1</v>
      </c>
    </row>
    <row r="455" customHeight="1" spans="1:5">
      <c r="A455" s="40" t="s">
        <v>5</v>
      </c>
      <c r="B455" s="70">
        <v>20230976</v>
      </c>
      <c r="C455" s="83" t="s">
        <v>123</v>
      </c>
      <c r="D455" s="70" t="s">
        <v>7</v>
      </c>
      <c r="E455" s="40">
        <v>1</v>
      </c>
    </row>
    <row r="456" customHeight="1" spans="1:5">
      <c r="A456" s="40" t="s">
        <v>5</v>
      </c>
      <c r="B456" s="70">
        <v>20230977</v>
      </c>
      <c r="C456" s="83" t="s">
        <v>123</v>
      </c>
      <c r="D456" s="70" t="s">
        <v>7</v>
      </c>
      <c r="E456" s="40">
        <v>1</v>
      </c>
    </row>
    <row r="457" customHeight="1" spans="1:5">
      <c r="A457" s="40" t="s">
        <v>5</v>
      </c>
      <c r="B457" s="70">
        <v>20231004</v>
      </c>
      <c r="C457" s="83" t="s">
        <v>125</v>
      </c>
      <c r="D457" s="70" t="s">
        <v>34</v>
      </c>
      <c r="E457" s="40">
        <v>1</v>
      </c>
    </row>
    <row r="458" customHeight="1" spans="1:5">
      <c r="A458" s="40" t="s">
        <v>5</v>
      </c>
      <c r="B458" s="70">
        <v>20231005</v>
      </c>
      <c r="C458" s="83" t="s">
        <v>126</v>
      </c>
      <c r="D458" s="70" t="s">
        <v>34</v>
      </c>
      <c r="E458" s="40">
        <v>1</v>
      </c>
    </row>
    <row r="459" customHeight="1" spans="1:5">
      <c r="A459" s="40" t="s">
        <v>5</v>
      </c>
      <c r="B459" s="70">
        <v>20231006</v>
      </c>
      <c r="C459" s="83" t="s">
        <v>127</v>
      </c>
      <c r="D459" s="70" t="s">
        <v>34</v>
      </c>
      <c r="E459" s="40">
        <v>1</v>
      </c>
    </row>
    <row r="460" customHeight="1" spans="1:5">
      <c r="A460" s="40" t="s">
        <v>5</v>
      </c>
      <c r="B460" s="70">
        <v>20231007</v>
      </c>
      <c r="C460" s="83" t="s">
        <v>128</v>
      </c>
      <c r="D460" s="70" t="s">
        <v>34</v>
      </c>
      <c r="E460" s="40">
        <v>1</v>
      </c>
    </row>
    <row r="461" customHeight="1" spans="1:5">
      <c r="A461" s="40" t="s">
        <v>5</v>
      </c>
      <c r="B461" s="70">
        <v>20231008</v>
      </c>
      <c r="C461" s="83" t="s">
        <v>129</v>
      </c>
      <c r="D461" s="70" t="s">
        <v>34</v>
      </c>
      <c r="E461" s="40">
        <v>1</v>
      </c>
    </row>
    <row r="462" customHeight="1" spans="1:5">
      <c r="A462" s="40" t="s">
        <v>5</v>
      </c>
      <c r="B462" s="39">
        <v>20171834</v>
      </c>
      <c r="C462" s="69" t="s">
        <v>95</v>
      </c>
      <c r="D462" s="70" t="s">
        <v>7</v>
      </c>
      <c r="E462" s="40">
        <v>1</v>
      </c>
    </row>
    <row r="463" customHeight="1" spans="1:5">
      <c r="A463" s="40" t="s">
        <v>5</v>
      </c>
      <c r="B463" s="39">
        <v>20171835</v>
      </c>
      <c r="C463" s="69" t="s">
        <v>95</v>
      </c>
      <c r="D463" s="70" t="s">
        <v>7</v>
      </c>
      <c r="E463" s="40">
        <v>1</v>
      </c>
    </row>
    <row r="464" customHeight="1" spans="1:5">
      <c r="A464" s="40" t="s">
        <v>5</v>
      </c>
      <c r="B464" s="39">
        <v>20171885</v>
      </c>
      <c r="C464" s="69" t="s">
        <v>130</v>
      </c>
      <c r="D464" s="70" t="s">
        <v>7</v>
      </c>
      <c r="E464" s="40">
        <v>1</v>
      </c>
    </row>
    <row r="465" customHeight="1" spans="1:5">
      <c r="A465" s="40" t="s">
        <v>5</v>
      </c>
      <c r="B465" s="70">
        <v>20190812</v>
      </c>
      <c r="C465" s="83" t="s">
        <v>96</v>
      </c>
      <c r="D465" s="70" t="s">
        <v>7</v>
      </c>
      <c r="E465" s="40">
        <v>1</v>
      </c>
    </row>
    <row r="466" customHeight="1" spans="1:5">
      <c r="A466" s="40" t="s">
        <v>5</v>
      </c>
      <c r="B466" s="70">
        <v>20200397</v>
      </c>
      <c r="C466" s="83" t="s">
        <v>96</v>
      </c>
      <c r="D466" s="70" t="s">
        <v>7</v>
      </c>
      <c r="E466" s="40">
        <v>1</v>
      </c>
    </row>
    <row r="467" customHeight="1" spans="1:5">
      <c r="A467" s="40" t="s">
        <v>5</v>
      </c>
      <c r="B467" s="70">
        <v>20200398</v>
      </c>
      <c r="C467" s="83" t="s">
        <v>96</v>
      </c>
      <c r="D467" s="70" t="s">
        <v>7</v>
      </c>
      <c r="E467" s="40">
        <v>1</v>
      </c>
    </row>
    <row r="468" customHeight="1" spans="1:5">
      <c r="A468" s="40" t="s">
        <v>5</v>
      </c>
      <c r="B468" s="70">
        <v>20200399</v>
      </c>
      <c r="C468" s="83" t="s">
        <v>96</v>
      </c>
      <c r="D468" s="70" t="s">
        <v>7</v>
      </c>
      <c r="E468" s="40">
        <v>1</v>
      </c>
    </row>
    <row r="469" customHeight="1" spans="1:5">
      <c r="A469" s="40" t="s">
        <v>5</v>
      </c>
      <c r="B469" s="70">
        <v>20200400</v>
      </c>
      <c r="C469" s="83" t="s">
        <v>96</v>
      </c>
      <c r="D469" s="70" t="s">
        <v>7</v>
      </c>
      <c r="E469" s="40">
        <v>1</v>
      </c>
    </row>
    <row r="470" customHeight="1" spans="1:5">
      <c r="A470" s="40" t="s">
        <v>5</v>
      </c>
      <c r="B470" s="70">
        <v>20200401</v>
      </c>
      <c r="C470" s="83" t="s">
        <v>96</v>
      </c>
      <c r="D470" s="70" t="s">
        <v>7</v>
      </c>
      <c r="E470" s="40">
        <v>1</v>
      </c>
    </row>
    <row r="471" customHeight="1" spans="1:5">
      <c r="A471" s="40" t="s">
        <v>5</v>
      </c>
      <c r="B471" s="70">
        <v>20200402</v>
      </c>
      <c r="C471" s="83" t="s">
        <v>96</v>
      </c>
      <c r="D471" s="70" t="s">
        <v>7</v>
      </c>
      <c r="E471" s="40">
        <v>1</v>
      </c>
    </row>
    <row r="472" customHeight="1" spans="1:5">
      <c r="A472" s="40" t="s">
        <v>5</v>
      </c>
      <c r="B472" s="70">
        <v>20200403</v>
      </c>
      <c r="C472" s="83" t="s">
        <v>96</v>
      </c>
      <c r="D472" s="70" t="s">
        <v>7</v>
      </c>
      <c r="E472" s="40">
        <v>1</v>
      </c>
    </row>
    <row r="473" customHeight="1" spans="1:5">
      <c r="A473" s="40" t="s">
        <v>5</v>
      </c>
      <c r="B473" s="70">
        <v>20200404</v>
      </c>
      <c r="C473" s="83" t="s">
        <v>96</v>
      </c>
      <c r="D473" s="70" t="s">
        <v>7</v>
      </c>
      <c r="E473" s="40">
        <v>1</v>
      </c>
    </row>
    <row r="474" customHeight="1" spans="1:5">
      <c r="A474" s="40" t="s">
        <v>5</v>
      </c>
      <c r="B474" s="70">
        <v>20200405</v>
      </c>
      <c r="C474" s="83" t="s">
        <v>96</v>
      </c>
      <c r="D474" s="70" t="s">
        <v>7</v>
      </c>
      <c r="E474" s="40">
        <v>1</v>
      </c>
    </row>
    <row r="475" customHeight="1" spans="1:5">
      <c r="A475" s="40" t="s">
        <v>5</v>
      </c>
      <c r="B475" s="70">
        <v>20200406</v>
      </c>
      <c r="C475" s="83" t="s">
        <v>96</v>
      </c>
      <c r="D475" s="70" t="s">
        <v>7</v>
      </c>
      <c r="E475" s="40">
        <v>1</v>
      </c>
    </row>
    <row r="476" customHeight="1" spans="1:5">
      <c r="A476" s="40" t="s">
        <v>5</v>
      </c>
      <c r="B476" s="70">
        <v>20200407</v>
      </c>
      <c r="C476" s="83" t="s">
        <v>96</v>
      </c>
      <c r="D476" s="70" t="s">
        <v>7</v>
      </c>
      <c r="E476" s="40">
        <v>1</v>
      </c>
    </row>
    <row r="477" s="72" customFormat="1" customHeight="1" spans="1:5">
      <c r="A477" s="40" t="s">
        <v>5</v>
      </c>
      <c r="B477" s="70">
        <v>20200408</v>
      </c>
      <c r="C477" s="83" t="s">
        <v>96</v>
      </c>
      <c r="D477" s="70" t="s">
        <v>7</v>
      </c>
      <c r="E477" s="40">
        <v>1</v>
      </c>
    </row>
    <row r="478" s="72" customFormat="1" customHeight="1" spans="1:5">
      <c r="A478" s="40" t="s">
        <v>5</v>
      </c>
      <c r="B478" s="70">
        <v>20200409</v>
      </c>
      <c r="C478" s="83" t="s">
        <v>96</v>
      </c>
      <c r="D478" s="70" t="s">
        <v>7</v>
      </c>
      <c r="E478" s="40">
        <v>1</v>
      </c>
    </row>
    <row r="479" s="72" customFormat="1" customHeight="1" spans="1:5">
      <c r="A479" s="40" t="s">
        <v>5</v>
      </c>
      <c r="B479" s="70">
        <v>20200410</v>
      </c>
      <c r="C479" s="83" t="s">
        <v>96</v>
      </c>
      <c r="D479" s="70" t="s">
        <v>7</v>
      </c>
      <c r="E479" s="40">
        <v>1</v>
      </c>
    </row>
    <row r="480" s="72" customFormat="1" customHeight="1" spans="1:5">
      <c r="A480" s="40" t="s">
        <v>5</v>
      </c>
      <c r="B480" s="70">
        <v>20200411</v>
      </c>
      <c r="C480" s="83" t="s">
        <v>96</v>
      </c>
      <c r="D480" s="70" t="s">
        <v>7</v>
      </c>
      <c r="E480" s="40">
        <v>1</v>
      </c>
    </row>
    <row r="481" s="72" customFormat="1" customHeight="1" spans="1:5">
      <c r="A481" s="40" t="s">
        <v>5</v>
      </c>
      <c r="B481" s="70">
        <v>20200412</v>
      </c>
      <c r="C481" s="83" t="s">
        <v>96</v>
      </c>
      <c r="D481" s="70" t="s">
        <v>7</v>
      </c>
      <c r="E481" s="40">
        <v>1</v>
      </c>
    </row>
    <row r="482" s="72" customFormat="1" customHeight="1" spans="1:5">
      <c r="A482" s="40" t="s">
        <v>5</v>
      </c>
      <c r="B482" s="70">
        <v>20200413</v>
      </c>
      <c r="C482" s="83" t="s">
        <v>96</v>
      </c>
      <c r="D482" s="70" t="s">
        <v>7</v>
      </c>
      <c r="E482" s="40">
        <v>1</v>
      </c>
    </row>
    <row r="483" s="72" customFormat="1" customHeight="1" spans="1:5">
      <c r="A483" s="40" t="s">
        <v>5</v>
      </c>
      <c r="B483" s="70">
        <v>20200414</v>
      </c>
      <c r="C483" s="83" t="s">
        <v>96</v>
      </c>
      <c r="D483" s="70" t="s">
        <v>7</v>
      </c>
      <c r="E483" s="40">
        <v>1</v>
      </c>
    </row>
    <row r="484" s="72" customFormat="1" customHeight="1" spans="1:5">
      <c r="A484" s="40" t="s">
        <v>5</v>
      </c>
      <c r="B484" s="70">
        <v>20200415</v>
      </c>
      <c r="C484" s="83" t="s">
        <v>96</v>
      </c>
      <c r="D484" s="70" t="s">
        <v>7</v>
      </c>
      <c r="E484" s="40">
        <v>1</v>
      </c>
    </row>
    <row r="485" s="72" customFormat="1" customHeight="1" spans="1:5">
      <c r="A485" s="40" t="s">
        <v>5</v>
      </c>
      <c r="B485" s="70">
        <v>20200416</v>
      </c>
      <c r="C485" s="83" t="s">
        <v>96</v>
      </c>
      <c r="D485" s="70" t="s">
        <v>7</v>
      </c>
      <c r="E485" s="40">
        <v>1</v>
      </c>
    </row>
    <row r="486" s="72" customFormat="1" customHeight="1" spans="1:5">
      <c r="A486" s="40" t="s">
        <v>5</v>
      </c>
      <c r="B486" s="70">
        <v>20200417</v>
      </c>
      <c r="C486" s="83" t="s">
        <v>96</v>
      </c>
      <c r="D486" s="70" t="s">
        <v>7</v>
      </c>
      <c r="E486" s="40">
        <v>1</v>
      </c>
    </row>
    <row r="487" s="72" customFormat="1" customHeight="1" spans="1:5">
      <c r="A487" s="40" t="s">
        <v>5</v>
      </c>
      <c r="B487" s="70">
        <v>20200418</v>
      </c>
      <c r="C487" s="83" t="s">
        <v>96</v>
      </c>
      <c r="D487" s="70" t="s">
        <v>7</v>
      </c>
      <c r="E487" s="40">
        <v>1</v>
      </c>
    </row>
    <row r="488" s="72" customFormat="1" customHeight="1" spans="1:5">
      <c r="A488" s="40" t="s">
        <v>5</v>
      </c>
      <c r="B488" s="70">
        <v>20200419</v>
      </c>
      <c r="C488" s="83" t="s">
        <v>96</v>
      </c>
      <c r="D488" s="70" t="s">
        <v>7</v>
      </c>
      <c r="E488" s="40">
        <v>1</v>
      </c>
    </row>
    <row r="489" s="72" customFormat="1" customHeight="1" spans="1:5">
      <c r="A489" s="40" t="s">
        <v>5</v>
      </c>
      <c r="B489" s="70">
        <v>20200420</v>
      </c>
      <c r="C489" s="83" t="s">
        <v>96</v>
      </c>
      <c r="D489" s="70" t="s">
        <v>7</v>
      </c>
      <c r="E489" s="40">
        <v>1</v>
      </c>
    </row>
    <row r="490" s="72" customFormat="1" customHeight="1" spans="1:5">
      <c r="A490" s="40" t="s">
        <v>5</v>
      </c>
      <c r="B490" s="70">
        <v>20200421</v>
      </c>
      <c r="C490" s="83" t="s">
        <v>96</v>
      </c>
      <c r="D490" s="70" t="s">
        <v>7</v>
      </c>
      <c r="E490" s="40">
        <v>1</v>
      </c>
    </row>
    <row r="491" s="72" customFormat="1" customHeight="1" spans="1:5">
      <c r="A491" s="40" t="s">
        <v>5</v>
      </c>
      <c r="B491" s="70">
        <v>20200422</v>
      </c>
      <c r="C491" s="83" t="s">
        <v>96</v>
      </c>
      <c r="D491" s="70" t="s">
        <v>7</v>
      </c>
      <c r="E491" s="40">
        <v>1</v>
      </c>
    </row>
    <row r="492" s="72" customFormat="1" customHeight="1" spans="1:5">
      <c r="A492" s="40" t="s">
        <v>5</v>
      </c>
      <c r="B492" s="70">
        <v>20200423</v>
      </c>
      <c r="C492" s="83" t="s">
        <v>96</v>
      </c>
      <c r="D492" s="70" t="s">
        <v>7</v>
      </c>
      <c r="E492" s="40">
        <v>1</v>
      </c>
    </row>
    <row r="493" s="72" customFormat="1" customHeight="1" spans="1:5">
      <c r="A493" s="40" t="s">
        <v>5</v>
      </c>
      <c r="B493" s="70">
        <v>20200424</v>
      </c>
      <c r="C493" s="83" t="s">
        <v>96</v>
      </c>
      <c r="D493" s="70" t="s">
        <v>7</v>
      </c>
      <c r="E493" s="40">
        <v>1</v>
      </c>
    </row>
    <row r="494" s="72" customFormat="1" customHeight="1" spans="1:5">
      <c r="A494" s="40" t="s">
        <v>5</v>
      </c>
      <c r="B494" s="70">
        <v>20200425</v>
      </c>
      <c r="C494" s="83" t="s">
        <v>96</v>
      </c>
      <c r="D494" s="70" t="s">
        <v>7</v>
      </c>
      <c r="E494" s="40">
        <v>1</v>
      </c>
    </row>
    <row r="495" s="72" customFormat="1" customHeight="1" spans="1:5">
      <c r="A495" s="40" t="s">
        <v>5</v>
      </c>
      <c r="B495" s="70">
        <v>20200426</v>
      </c>
      <c r="C495" s="83" t="s">
        <v>96</v>
      </c>
      <c r="D495" s="70" t="s">
        <v>7</v>
      </c>
      <c r="E495" s="40">
        <v>1</v>
      </c>
    </row>
    <row r="496" s="72" customFormat="1" customHeight="1" spans="1:5">
      <c r="A496" s="40" t="s">
        <v>5</v>
      </c>
      <c r="B496" s="70">
        <v>20200427</v>
      </c>
      <c r="C496" s="83" t="s">
        <v>96</v>
      </c>
      <c r="D496" s="70" t="s">
        <v>7</v>
      </c>
      <c r="E496" s="40">
        <v>1</v>
      </c>
    </row>
    <row r="497" s="72" customFormat="1" customHeight="1" spans="1:5">
      <c r="A497" s="40" t="s">
        <v>5</v>
      </c>
      <c r="B497" s="70">
        <v>20200428</v>
      </c>
      <c r="C497" s="83" t="s">
        <v>96</v>
      </c>
      <c r="D497" s="70" t="s">
        <v>7</v>
      </c>
      <c r="E497" s="40">
        <v>1</v>
      </c>
    </row>
    <row r="498" s="72" customFormat="1" customHeight="1" spans="1:5">
      <c r="A498" s="40" t="s">
        <v>5</v>
      </c>
      <c r="B498" s="70">
        <v>20200429</v>
      </c>
      <c r="C498" s="83" t="s">
        <v>96</v>
      </c>
      <c r="D498" s="70" t="s">
        <v>7</v>
      </c>
      <c r="E498" s="40">
        <v>1</v>
      </c>
    </row>
    <row r="499" s="72" customFormat="1" customHeight="1" spans="1:5">
      <c r="A499" s="40" t="s">
        <v>5</v>
      </c>
      <c r="B499" s="70">
        <v>20200430</v>
      </c>
      <c r="C499" s="83" t="s">
        <v>96</v>
      </c>
      <c r="D499" s="70" t="s">
        <v>7</v>
      </c>
      <c r="E499" s="40">
        <v>1</v>
      </c>
    </row>
    <row r="500" s="72" customFormat="1" customHeight="1" spans="1:5">
      <c r="A500" s="40" t="s">
        <v>5</v>
      </c>
      <c r="B500" s="70">
        <v>20200431</v>
      </c>
      <c r="C500" s="83" t="s">
        <v>96</v>
      </c>
      <c r="D500" s="70" t="s">
        <v>7</v>
      </c>
      <c r="E500" s="40">
        <v>1</v>
      </c>
    </row>
    <row r="501" s="72" customFormat="1" customHeight="1" spans="1:5">
      <c r="A501" s="40" t="s">
        <v>5</v>
      </c>
      <c r="B501" s="70">
        <v>20200432</v>
      </c>
      <c r="C501" s="83" t="s">
        <v>96</v>
      </c>
      <c r="D501" s="70" t="s">
        <v>7</v>
      </c>
      <c r="E501" s="40">
        <v>1</v>
      </c>
    </row>
    <row r="502" s="72" customFormat="1" customHeight="1" spans="1:5">
      <c r="A502" s="40" t="s">
        <v>5</v>
      </c>
      <c r="B502" s="70">
        <v>20200433</v>
      </c>
      <c r="C502" s="83" t="s">
        <v>96</v>
      </c>
      <c r="D502" s="70" t="s">
        <v>7</v>
      </c>
      <c r="E502" s="40">
        <v>1</v>
      </c>
    </row>
    <row r="503" s="72" customFormat="1" customHeight="1" spans="1:5">
      <c r="A503" s="40" t="s">
        <v>5</v>
      </c>
      <c r="B503" s="70">
        <v>20200434</v>
      </c>
      <c r="C503" s="83" t="s">
        <v>96</v>
      </c>
      <c r="D503" s="70" t="s">
        <v>7</v>
      </c>
      <c r="E503" s="40">
        <v>1</v>
      </c>
    </row>
    <row r="504" s="72" customFormat="1" customHeight="1" spans="1:5">
      <c r="A504" s="40" t="s">
        <v>5</v>
      </c>
      <c r="B504" s="70">
        <v>20200435</v>
      </c>
      <c r="C504" s="83" t="s">
        <v>96</v>
      </c>
      <c r="D504" s="70" t="s">
        <v>7</v>
      </c>
      <c r="E504" s="40">
        <v>1</v>
      </c>
    </row>
    <row r="505" s="72" customFormat="1" customHeight="1" spans="1:5">
      <c r="A505" s="40" t="s">
        <v>5</v>
      </c>
      <c r="B505" s="70">
        <v>20200436</v>
      </c>
      <c r="C505" s="83" t="s">
        <v>96</v>
      </c>
      <c r="D505" s="70" t="s">
        <v>7</v>
      </c>
      <c r="E505" s="40">
        <v>1</v>
      </c>
    </row>
    <row r="506" s="72" customFormat="1" customHeight="1" spans="1:5">
      <c r="A506" s="40" t="s">
        <v>5</v>
      </c>
      <c r="B506" s="70">
        <v>20200437</v>
      </c>
      <c r="C506" s="83" t="s">
        <v>96</v>
      </c>
      <c r="D506" s="70" t="s">
        <v>7</v>
      </c>
      <c r="E506" s="40">
        <v>1</v>
      </c>
    </row>
    <row r="507" s="72" customFormat="1" customHeight="1" spans="1:5">
      <c r="A507" s="40" t="s">
        <v>5</v>
      </c>
      <c r="B507" s="70">
        <v>20200553</v>
      </c>
      <c r="C507" s="83" t="s">
        <v>95</v>
      </c>
      <c r="D507" s="70" t="s">
        <v>7</v>
      </c>
      <c r="E507" s="40">
        <v>1</v>
      </c>
    </row>
    <row r="508" s="72" customFormat="1" customHeight="1" spans="1:5">
      <c r="A508" s="40" t="s">
        <v>5</v>
      </c>
      <c r="B508" s="70">
        <v>20200554</v>
      </c>
      <c r="C508" s="83" t="s">
        <v>95</v>
      </c>
      <c r="D508" s="70" t="s">
        <v>7</v>
      </c>
      <c r="E508" s="40">
        <v>1</v>
      </c>
    </row>
    <row r="509" s="72" customFormat="1" customHeight="1" spans="1:5">
      <c r="A509" s="40" t="s">
        <v>5</v>
      </c>
      <c r="B509" s="70">
        <v>20210930</v>
      </c>
      <c r="C509" s="83" t="s">
        <v>131</v>
      </c>
      <c r="D509" s="70" t="s">
        <v>34</v>
      </c>
      <c r="E509" s="40">
        <v>1</v>
      </c>
    </row>
    <row r="510" s="72" customFormat="1" customHeight="1" spans="1:5">
      <c r="A510" s="40" t="s">
        <v>5</v>
      </c>
      <c r="B510" s="70">
        <v>20210931</v>
      </c>
      <c r="C510" s="83" t="s">
        <v>132</v>
      </c>
      <c r="D510" s="70" t="s">
        <v>34</v>
      </c>
      <c r="E510" s="40">
        <v>1</v>
      </c>
    </row>
    <row r="511" s="72" customFormat="1" customHeight="1" spans="1:5">
      <c r="A511" s="40" t="s">
        <v>5</v>
      </c>
      <c r="B511" s="70">
        <v>20211344</v>
      </c>
      <c r="C511" s="83" t="s">
        <v>96</v>
      </c>
      <c r="D511" s="70" t="s">
        <v>7</v>
      </c>
      <c r="E511" s="40">
        <v>1</v>
      </c>
    </row>
    <row r="512" s="72" customFormat="1" customHeight="1" spans="1:5">
      <c r="A512" s="40" t="s">
        <v>5</v>
      </c>
      <c r="B512" s="70">
        <v>20211345</v>
      </c>
      <c r="C512" s="83" t="s">
        <v>96</v>
      </c>
      <c r="D512" s="70" t="s">
        <v>7</v>
      </c>
      <c r="E512" s="40">
        <v>1</v>
      </c>
    </row>
    <row r="513" s="72" customFormat="1" customHeight="1" spans="1:5">
      <c r="A513" s="40" t="s">
        <v>5</v>
      </c>
      <c r="B513" s="70">
        <v>20211346</v>
      </c>
      <c r="C513" s="83" t="s">
        <v>96</v>
      </c>
      <c r="D513" s="70" t="s">
        <v>7</v>
      </c>
      <c r="E513" s="40">
        <v>1</v>
      </c>
    </row>
    <row r="514" s="72" customFormat="1" customHeight="1" spans="1:5">
      <c r="A514" s="40" t="s">
        <v>5</v>
      </c>
      <c r="B514" s="70">
        <v>20211347</v>
      </c>
      <c r="C514" s="83" t="s">
        <v>96</v>
      </c>
      <c r="D514" s="70" t="s">
        <v>7</v>
      </c>
      <c r="E514" s="40">
        <v>1</v>
      </c>
    </row>
    <row r="515" s="72" customFormat="1" customHeight="1" spans="1:5">
      <c r="A515" s="40" t="s">
        <v>5</v>
      </c>
      <c r="B515" s="70">
        <v>20211348</v>
      </c>
      <c r="C515" s="83" t="s">
        <v>96</v>
      </c>
      <c r="D515" s="70" t="s">
        <v>7</v>
      </c>
      <c r="E515" s="40">
        <v>1</v>
      </c>
    </row>
    <row r="516" s="72" customFormat="1" customHeight="1" spans="1:5">
      <c r="A516" s="40" t="s">
        <v>5</v>
      </c>
      <c r="B516" s="70">
        <v>20211349</v>
      </c>
      <c r="C516" s="83" t="s">
        <v>96</v>
      </c>
      <c r="D516" s="70" t="s">
        <v>7</v>
      </c>
      <c r="E516" s="40">
        <v>1</v>
      </c>
    </row>
    <row r="517" s="72" customFormat="1" customHeight="1" spans="1:5">
      <c r="A517" s="40" t="s">
        <v>5</v>
      </c>
      <c r="B517" s="70">
        <v>20211350</v>
      </c>
      <c r="C517" s="83" t="s">
        <v>96</v>
      </c>
      <c r="D517" s="70" t="s">
        <v>7</v>
      </c>
      <c r="E517" s="40">
        <v>1</v>
      </c>
    </row>
    <row r="518" s="72" customFormat="1" customHeight="1" spans="1:5">
      <c r="A518" s="40" t="s">
        <v>5</v>
      </c>
      <c r="B518" s="70">
        <v>20211351</v>
      </c>
      <c r="C518" s="83" t="s">
        <v>96</v>
      </c>
      <c r="D518" s="70" t="s">
        <v>7</v>
      </c>
      <c r="E518" s="40">
        <v>1</v>
      </c>
    </row>
    <row r="519" s="72" customFormat="1" customHeight="1" spans="1:5">
      <c r="A519" s="40" t="s">
        <v>5</v>
      </c>
      <c r="B519" s="70">
        <v>20211352</v>
      </c>
      <c r="C519" s="83" t="s">
        <v>96</v>
      </c>
      <c r="D519" s="70" t="s">
        <v>7</v>
      </c>
      <c r="E519" s="40">
        <v>1</v>
      </c>
    </row>
    <row r="520" s="72" customFormat="1" customHeight="1" spans="1:5">
      <c r="A520" s="40" t="s">
        <v>5</v>
      </c>
      <c r="B520" s="70">
        <v>20211353</v>
      </c>
      <c r="C520" s="83" t="s">
        <v>96</v>
      </c>
      <c r="D520" s="70" t="s">
        <v>7</v>
      </c>
      <c r="E520" s="40">
        <v>1</v>
      </c>
    </row>
    <row r="521" s="72" customFormat="1" customHeight="1" spans="1:5">
      <c r="A521" s="40" t="s">
        <v>5</v>
      </c>
      <c r="B521" s="70">
        <v>20160583</v>
      </c>
      <c r="C521" s="83" t="s">
        <v>133</v>
      </c>
      <c r="D521" s="70" t="s">
        <v>134</v>
      </c>
      <c r="E521" s="40">
        <v>1</v>
      </c>
    </row>
    <row r="522" s="72" customFormat="1" customHeight="1" spans="1:5">
      <c r="A522" s="40" t="s">
        <v>5</v>
      </c>
      <c r="B522" s="70">
        <v>20160664</v>
      </c>
      <c r="C522" s="83" t="s">
        <v>135</v>
      </c>
      <c r="D522" s="70" t="s">
        <v>7</v>
      </c>
      <c r="E522" s="40">
        <v>1</v>
      </c>
    </row>
    <row r="523" s="72" customFormat="1" customHeight="1" spans="1:5">
      <c r="A523" s="40" t="s">
        <v>5</v>
      </c>
      <c r="B523" s="70">
        <v>20160665</v>
      </c>
      <c r="C523" s="83" t="s">
        <v>136</v>
      </c>
      <c r="D523" s="70" t="s">
        <v>7</v>
      </c>
      <c r="E523" s="40">
        <v>1</v>
      </c>
    </row>
    <row r="524" s="72" customFormat="1" customHeight="1" spans="1:5">
      <c r="A524" s="40" t="s">
        <v>5</v>
      </c>
      <c r="B524" s="70">
        <v>20160994</v>
      </c>
      <c r="C524" s="83" t="s">
        <v>137</v>
      </c>
      <c r="D524" s="70" t="s">
        <v>7</v>
      </c>
      <c r="E524" s="40">
        <v>1</v>
      </c>
    </row>
    <row r="525" s="72" customFormat="1" customHeight="1" spans="1:5">
      <c r="A525" s="40" t="s">
        <v>5</v>
      </c>
      <c r="B525" s="70">
        <v>20160995</v>
      </c>
      <c r="C525" s="83" t="s">
        <v>137</v>
      </c>
      <c r="D525" s="70" t="s">
        <v>7</v>
      </c>
      <c r="E525" s="40">
        <v>1</v>
      </c>
    </row>
    <row r="526" s="72" customFormat="1" customHeight="1" spans="1:5">
      <c r="A526" s="40" t="s">
        <v>5</v>
      </c>
      <c r="B526" s="70">
        <v>20220342</v>
      </c>
      <c r="C526" s="83" t="s">
        <v>138</v>
      </c>
      <c r="D526" s="70" t="s">
        <v>7</v>
      </c>
      <c r="E526" s="40">
        <v>1</v>
      </c>
    </row>
    <row r="527" s="72" customFormat="1" customHeight="1" spans="1:5">
      <c r="A527" s="40" t="s">
        <v>5</v>
      </c>
      <c r="B527" s="70">
        <v>20090557</v>
      </c>
      <c r="C527" s="83" t="s">
        <v>139</v>
      </c>
      <c r="D527" s="70" t="s">
        <v>7</v>
      </c>
      <c r="E527" s="40">
        <v>1</v>
      </c>
    </row>
    <row r="528" s="72" customFormat="1" customHeight="1" spans="1:5">
      <c r="A528" s="40" t="s">
        <v>5</v>
      </c>
      <c r="B528" s="70">
        <v>20090558</v>
      </c>
      <c r="C528" s="83" t="s">
        <v>140</v>
      </c>
      <c r="D528" s="70" t="s">
        <v>7</v>
      </c>
      <c r="E528" s="40">
        <v>1</v>
      </c>
    </row>
    <row r="529" customHeight="1" spans="1:5">
      <c r="A529" s="40" t="s">
        <v>5</v>
      </c>
      <c r="B529" s="70">
        <v>20090559</v>
      </c>
      <c r="C529" s="83" t="s">
        <v>140</v>
      </c>
      <c r="D529" s="70" t="s">
        <v>7</v>
      </c>
      <c r="E529" s="40">
        <v>1</v>
      </c>
    </row>
    <row r="530" customHeight="1" spans="1:5">
      <c r="A530" s="40" t="s">
        <v>5</v>
      </c>
      <c r="B530" s="70">
        <v>20090560</v>
      </c>
      <c r="C530" s="83" t="s">
        <v>141</v>
      </c>
      <c r="D530" s="70" t="s">
        <v>7</v>
      </c>
      <c r="E530" s="40">
        <v>1</v>
      </c>
    </row>
    <row r="531" customHeight="1" spans="1:5">
      <c r="A531" s="40" t="s">
        <v>5</v>
      </c>
      <c r="B531" s="70">
        <v>20090561</v>
      </c>
      <c r="C531" s="83" t="s">
        <v>141</v>
      </c>
      <c r="D531" s="70" t="s">
        <v>7</v>
      </c>
      <c r="E531" s="40">
        <v>1</v>
      </c>
    </row>
    <row r="532" customHeight="1" spans="1:5">
      <c r="A532" s="40" t="s">
        <v>5</v>
      </c>
      <c r="B532" s="70">
        <v>20090562</v>
      </c>
      <c r="C532" s="83" t="s">
        <v>142</v>
      </c>
      <c r="D532" s="70" t="s">
        <v>7</v>
      </c>
      <c r="E532" s="40">
        <v>1</v>
      </c>
    </row>
    <row r="533" customHeight="1" spans="1:5">
      <c r="A533" s="40" t="s">
        <v>5</v>
      </c>
      <c r="B533" s="70">
        <v>20090563</v>
      </c>
      <c r="C533" s="83" t="s">
        <v>143</v>
      </c>
      <c r="D533" s="70" t="s">
        <v>7</v>
      </c>
      <c r="E533" s="40">
        <v>1</v>
      </c>
    </row>
    <row r="534" customHeight="1" spans="1:5">
      <c r="A534" s="40" t="s">
        <v>5</v>
      </c>
      <c r="B534" s="70">
        <v>20090564</v>
      </c>
      <c r="C534" s="83" t="s">
        <v>143</v>
      </c>
      <c r="D534" s="70" t="s">
        <v>7</v>
      </c>
      <c r="E534" s="40">
        <v>1</v>
      </c>
    </row>
    <row r="535" customHeight="1" spans="1:5">
      <c r="A535" s="40" t="s">
        <v>5</v>
      </c>
      <c r="B535" s="70">
        <v>20230194</v>
      </c>
      <c r="C535" s="83" t="s">
        <v>144</v>
      </c>
      <c r="D535" s="70" t="s">
        <v>7</v>
      </c>
      <c r="E535" s="40">
        <v>1</v>
      </c>
    </row>
    <row r="536" customHeight="1" spans="1:5">
      <c r="A536" s="40" t="s">
        <v>5</v>
      </c>
      <c r="B536" s="70">
        <v>20230331</v>
      </c>
      <c r="C536" s="83" t="s">
        <v>145</v>
      </c>
      <c r="D536" s="70" t="s">
        <v>7</v>
      </c>
      <c r="E536" s="40">
        <v>1</v>
      </c>
    </row>
    <row r="537" customHeight="1" spans="1:5">
      <c r="A537" s="40" t="s">
        <v>5</v>
      </c>
      <c r="B537" s="70">
        <v>20231060</v>
      </c>
      <c r="C537" s="83" t="s">
        <v>146</v>
      </c>
      <c r="D537" s="70" t="s">
        <v>7</v>
      </c>
      <c r="E537" s="40">
        <v>1</v>
      </c>
    </row>
    <row r="538" customHeight="1" spans="1:5">
      <c r="A538" s="40" t="s">
        <v>5</v>
      </c>
      <c r="B538" s="70">
        <v>20160254</v>
      </c>
      <c r="C538" s="83" t="s">
        <v>147</v>
      </c>
      <c r="D538" s="70" t="s">
        <v>7</v>
      </c>
      <c r="E538" s="40">
        <v>1</v>
      </c>
    </row>
    <row r="539" customHeight="1" spans="1:5">
      <c r="A539" s="40" t="s">
        <v>5</v>
      </c>
      <c r="B539" s="70">
        <v>20160566</v>
      </c>
      <c r="C539" s="83" t="s">
        <v>148</v>
      </c>
      <c r="D539" s="70" t="s">
        <v>7</v>
      </c>
      <c r="E539" s="40">
        <v>1</v>
      </c>
    </row>
    <row r="540" customHeight="1" spans="1:5">
      <c r="A540" s="40" t="s">
        <v>5</v>
      </c>
      <c r="B540" s="70">
        <v>20160567</v>
      </c>
      <c r="C540" s="83" t="s">
        <v>149</v>
      </c>
      <c r="D540" s="70" t="s">
        <v>7</v>
      </c>
      <c r="E540" s="40">
        <v>1</v>
      </c>
    </row>
    <row r="541" customHeight="1" spans="1:5">
      <c r="A541" s="40" t="s">
        <v>5</v>
      </c>
      <c r="B541" s="70">
        <v>20170423</v>
      </c>
      <c r="C541" s="83" t="s">
        <v>150</v>
      </c>
      <c r="D541" s="70" t="s">
        <v>7</v>
      </c>
      <c r="E541" s="40">
        <v>1</v>
      </c>
    </row>
    <row r="542" customHeight="1" spans="1:5">
      <c r="A542" s="40" t="s">
        <v>5</v>
      </c>
      <c r="B542" s="70">
        <v>20161138</v>
      </c>
      <c r="C542" s="83" t="s">
        <v>151</v>
      </c>
      <c r="D542" s="70" t="s">
        <v>7</v>
      </c>
      <c r="E542" s="40">
        <v>1</v>
      </c>
    </row>
    <row r="543" customHeight="1" spans="1:5">
      <c r="A543" s="40" t="s">
        <v>5</v>
      </c>
      <c r="B543" s="70">
        <v>20161115</v>
      </c>
      <c r="C543" s="83" t="s">
        <v>152</v>
      </c>
      <c r="D543" s="70" t="s">
        <v>7</v>
      </c>
      <c r="E543" s="40">
        <v>1</v>
      </c>
    </row>
    <row r="544" customHeight="1" spans="1:5">
      <c r="A544" s="40" t="s">
        <v>5</v>
      </c>
      <c r="B544" s="70">
        <v>20161116</v>
      </c>
      <c r="C544" s="83" t="s">
        <v>153</v>
      </c>
      <c r="D544" s="70" t="s">
        <v>7</v>
      </c>
      <c r="E544" s="40">
        <v>1</v>
      </c>
    </row>
    <row r="545" customHeight="1" spans="1:5">
      <c r="A545" s="40" t="s">
        <v>5</v>
      </c>
      <c r="B545" s="70">
        <v>20161117</v>
      </c>
      <c r="C545" s="83" t="s">
        <v>154</v>
      </c>
      <c r="D545" s="70" t="s">
        <v>7</v>
      </c>
      <c r="E545" s="40">
        <v>1</v>
      </c>
    </row>
    <row r="546" customHeight="1" spans="1:5">
      <c r="A546" s="40" t="s">
        <v>5</v>
      </c>
      <c r="B546" s="70">
        <v>20161118</v>
      </c>
      <c r="C546" s="83" t="s">
        <v>155</v>
      </c>
      <c r="D546" s="70" t="s">
        <v>7</v>
      </c>
      <c r="E546" s="40">
        <v>1</v>
      </c>
    </row>
    <row r="547" customHeight="1" spans="1:5">
      <c r="A547" s="40" t="s">
        <v>5</v>
      </c>
      <c r="B547" s="70">
        <v>20161119</v>
      </c>
      <c r="C547" s="83" t="s">
        <v>155</v>
      </c>
      <c r="D547" s="70" t="s">
        <v>7</v>
      </c>
      <c r="E547" s="40">
        <v>1</v>
      </c>
    </row>
    <row r="548" customHeight="1" spans="1:5">
      <c r="A548" s="40" t="s">
        <v>5</v>
      </c>
      <c r="B548" s="70">
        <v>20161120</v>
      </c>
      <c r="C548" s="83" t="s">
        <v>156</v>
      </c>
      <c r="D548" s="70" t="s">
        <v>7</v>
      </c>
      <c r="E548" s="40">
        <v>1</v>
      </c>
    </row>
    <row r="549" customHeight="1" spans="1:5">
      <c r="A549" s="40" t="s">
        <v>5</v>
      </c>
      <c r="B549" s="70">
        <v>20161121</v>
      </c>
      <c r="C549" s="83" t="s">
        <v>156</v>
      </c>
      <c r="D549" s="70" t="s">
        <v>7</v>
      </c>
      <c r="E549" s="40">
        <v>1</v>
      </c>
    </row>
    <row r="550" customHeight="1" spans="1:5">
      <c r="A550" s="40" t="s">
        <v>5</v>
      </c>
      <c r="B550" s="70">
        <v>20161122</v>
      </c>
      <c r="C550" s="83" t="s">
        <v>157</v>
      </c>
      <c r="D550" s="70" t="s">
        <v>7</v>
      </c>
      <c r="E550" s="40">
        <v>1</v>
      </c>
    </row>
    <row r="551" customHeight="1" spans="1:5">
      <c r="A551" s="40" t="s">
        <v>5</v>
      </c>
      <c r="B551" s="70">
        <v>20161123</v>
      </c>
      <c r="C551" s="83" t="s">
        <v>158</v>
      </c>
      <c r="D551" s="70" t="s">
        <v>7</v>
      </c>
      <c r="E551" s="40">
        <v>1</v>
      </c>
    </row>
    <row r="552" customHeight="1" spans="1:5">
      <c r="A552" s="40" t="s">
        <v>5</v>
      </c>
      <c r="B552" s="70">
        <v>20161124</v>
      </c>
      <c r="C552" s="83" t="s">
        <v>159</v>
      </c>
      <c r="D552" s="70" t="s">
        <v>7</v>
      </c>
      <c r="E552" s="40">
        <v>1</v>
      </c>
    </row>
    <row r="553" customHeight="1" spans="1:5">
      <c r="A553" s="40" t="s">
        <v>5</v>
      </c>
      <c r="B553" s="70">
        <v>20161126</v>
      </c>
      <c r="C553" s="83" t="s">
        <v>160</v>
      </c>
      <c r="D553" s="70" t="s">
        <v>7</v>
      </c>
      <c r="E553" s="40">
        <v>1</v>
      </c>
    </row>
    <row r="554" customHeight="1" spans="1:5">
      <c r="A554" s="40" t="s">
        <v>5</v>
      </c>
      <c r="B554" s="70">
        <v>20161128</v>
      </c>
      <c r="C554" s="83" t="s">
        <v>161</v>
      </c>
      <c r="D554" s="70" t="s">
        <v>7</v>
      </c>
      <c r="E554" s="40">
        <v>1</v>
      </c>
    </row>
    <row r="555" customHeight="1" spans="1:5">
      <c r="A555" s="40" t="s">
        <v>5</v>
      </c>
      <c r="B555" s="70" t="str">
        <f>TEXT("20140680",REPT(0,8))</f>
        <v>20140680</v>
      </c>
      <c r="C555" s="83" t="s">
        <v>49</v>
      </c>
      <c r="D555" s="70" t="s">
        <v>7</v>
      </c>
      <c r="E555" s="40">
        <v>1</v>
      </c>
    </row>
    <row r="556" customHeight="1" spans="1:5">
      <c r="A556" s="40" t="s">
        <v>5</v>
      </c>
      <c r="B556" s="70" t="str">
        <f>TEXT("20210724",REPT(0,8))</f>
        <v>20210724</v>
      </c>
      <c r="C556" s="83" t="s">
        <v>162</v>
      </c>
      <c r="D556" s="70" t="s">
        <v>7</v>
      </c>
      <c r="E556" s="40">
        <v>1</v>
      </c>
    </row>
    <row r="557" customHeight="1" spans="1:5">
      <c r="A557" s="40" t="s">
        <v>5</v>
      </c>
      <c r="B557" s="70" t="str">
        <f>TEXT("20220470",REPT(0,8))</f>
        <v>20220470</v>
      </c>
      <c r="C557" s="83" t="s">
        <v>163</v>
      </c>
      <c r="D557" s="70" t="s">
        <v>7</v>
      </c>
      <c r="E557" s="40">
        <v>1</v>
      </c>
    </row>
    <row r="558" customHeight="1" spans="1:5">
      <c r="A558" s="40" t="s">
        <v>5</v>
      </c>
      <c r="B558" s="70" t="str">
        <f>TEXT("20220471",REPT(0,8))</f>
        <v>20220471</v>
      </c>
      <c r="C558" s="83" t="s">
        <v>164</v>
      </c>
      <c r="D558" s="70" t="s">
        <v>7</v>
      </c>
      <c r="E558" s="40">
        <v>1</v>
      </c>
    </row>
    <row r="559" customHeight="1" spans="1:5">
      <c r="A559" s="40" t="s">
        <v>5</v>
      </c>
      <c r="B559" s="70" t="str">
        <f>TEXT("20221402",REPT(0,8))</f>
        <v>20221402</v>
      </c>
      <c r="C559" s="83" t="s">
        <v>35</v>
      </c>
      <c r="D559" s="70" t="s">
        <v>7</v>
      </c>
      <c r="E559" s="40">
        <v>1</v>
      </c>
    </row>
    <row r="560" customHeight="1" spans="1:5">
      <c r="A560" s="40" t="s">
        <v>5</v>
      </c>
      <c r="B560" s="70">
        <v>20180899</v>
      </c>
      <c r="C560" s="83" t="s">
        <v>165</v>
      </c>
      <c r="D560" s="70" t="s">
        <v>7</v>
      </c>
      <c r="E560" s="40">
        <v>1</v>
      </c>
    </row>
    <row r="561" customHeight="1" spans="1:5">
      <c r="A561" s="40" t="s">
        <v>5</v>
      </c>
      <c r="B561" s="70">
        <v>20240341</v>
      </c>
      <c r="C561" s="83" t="s">
        <v>166</v>
      </c>
      <c r="D561" s="70" t="s">
        <v>7</v>
      </c>
      <c r="E561" s="40">
        <v>1</v>
      </c>
    </row>
    <row r="562" customHeight="1" spans="1:5">
      <c r="A562" s="40" t="s">
        <v>5</v>
      </c>
      <c r="B562" s="70">
        <v>20240342</v>
      </c>
      <c r="C562" s="83" t="s">
        <v>166</v>
      </c>
      <c r="D562" s="70" t="s">
        <v>7</v>
      </c>
      <c r="E562" s="40">
        <v>1</v>
      </c>
    </row>
    <row r="563" customHeight="1" spans="1:5">
      <c r="A563" s="40" t="s">
        <v>5</v>
      </c>
      <c r="B563" s="70">
        <v>20240343</v>
      </c>
      <c r="C563" s="83" t="s">
        <v>166</v>
      </c>
      <c r="D563" s="70" t="s">
        <v>7</v>
      </c>
      <c r="E563" s="40">
        <v>1</v>
      </c>
    </row>
    <row r="564" customHeight="1" spans="1:5">
      <c r="A564" s="40" t="s">
        <v>5</v>
      </c>
      <c r="B564" s="70">
        <v>20240344</v>
      </c>
      <c r="C564" s="83" t="s">
        <v>166</v>
      </c>
      <c r="D564" s="70" t="s">
        <v>7</v>
      </c>
      <c r="E564" s="40">
        <v>1</v>
      </c>
    </row>
    <row r="565" customHeight="1" spans="1:5">
      <c r="A565" s="40" t="s">
        <v>5</v>
      </c>
      <c r="B565" s="70">
        <v>20240345</v>
      </c>
      <c r="C565" s="83" t="s">
        <v>166</v>
      </c>
      <c r="D565" s="70" t="s">
        <v>7</v>
      </c>
      <c r="E565" s="40">
        <v>1</v>
      </c>
    </row>
    <row r="566" customHeight="1" spans="1:5">
      <c r="A566" s="40" t="s">
        <v>5</v>
      </c>
      <c r="B566" s="70">
        <v>20240346</v>
      </c>
      <c r="C566" s="83" t="s">
        <v>166</v>
      </c>
      <c r="D566" s="70" t="s">
        <v>7</v>
      </c>
      <c r="E566" s="40">
        <v>1</v>
      </c>
    </row>
    <row r="567" customHeight="1" spans="1:5">
      <c r="A567" s="40" t="s">
        <v>5</v>
      </c>
      <c r="B567" s="70">
        <v>20240347</v>
      </c>
      <c r="C567" s="83" t="s">
        <v>166</v>
      </c>
      <c r="D567" s="70" t="s">
        <v>7</v>
      </c>
      <c r="E567" s="40">
        <v>1</v>
      </c>
    </row>
    <row r="568" customHeight="1" spans="1:5">
      <c r="A568" s="40" t="s">
        <v>5</v>
      </c>
      <c r="B568" s="70" t="str">
        <f>TEXT("20190737",REPT(0,8))</f>
        <v>20190737</v>
      </c>
      <c r="C568" s="83" t="s">
        <v>49</v>
      </c>
      <c r="D568" s="70" t="s">
        <v>7</v>
      </c>
      <c r="E568" s="40">
        <v>1</v>
      </c>
    </row>
    <row r="569" customHeight="1" spans="1:5">
      <c r="A569" s="40" t="s">
        <v>5</v>
      </c>
      <c r="B569" s="70" t="str">
        <f>TEXT("20200883",REPT(0,8))</f>
        <v>20200883</v>
      </c>
      <c r="C569" s="83" t="s">
        <v>167</v>
      </c>
      <c r="D569" s="70" t="s">
        <v>7</v>
      </c>
      <c r="E569" s="40">
        <v>1</v>
      </c>
    </row>
    <row r="570" customHeight="1" spans="1:5">
      <c r="A570" s="40" t="s">
        <v>5</v>
      </c>
      <c r="B570" s="70" t="str">
        <f>TEXT("20200893",REPT(0,8))</f>
        <v>20200893</v>
      </c>
      <c r="C570" s="83" t="s">
        <v>168</v>
      </c>
      <c r="D570" s="70" t="s">
        <v>7</v>
      </c>
      <c r="E570" s="40">
        <v>1</v>
      </c>
    </row>
    <row r="571" customHeight="1" spans="1:5">
      <c r="A571" s="40" t="s">
        <v>5</v>
      </c>
      <c r="B571" s="70" t="str">
        <f>TEXT("20200894",REPT(0,8))</f>
        <v>20200894</v>
      </c>
      <c r="C571" s="83" t="s">
        <v>168</v>
      </c>
      <c r="D571" s="70" t="s">
        <v>7</v>
      </c>
      <c r="E571" s="40">
        <v>1</v>
      </c>
    </row>
    <row r="572" customHeight="1" spans="1:5">
      <c r="A572" s="40" t="s">
        <v>5</v>
      </c>
      <c r="B572" s="70" t="str">
        <f>TEXT("20200895",REPT(0,8))</f>
        <v>20200895</v>
      </c>
      <c r="C572" s="83" t="s">
        <v>168</v>
      </c>
      <c r="D572" s="70" t="s">
        <v>7</v>
      </c>
      <c r="E572" s="40">
        <v>1</v>
      </c>
    </row>
    <row r="573" customHeight="1" spans="1:5">
      <c r="A573" s="40" t="s">
        <v>5</v>
      </c>
      <c r="B573" s="70" t="str">
        <f>TEXT("20200896",REPT(0,8))</f>
        <v>20200896</v>
      </c>
      <c r="C573" s="83" t="s">
        <v>168</v>
      </c>
      <c r="D573" s="70" t="s">
        <v>7</v>
      </c>
      <c r="E573" s="40">
        <v>1</v>
      </c>
    </row>
    <row r="574" customHeight="1" spans="1:5">
      <c r="A574" s="40" t="s">
        <v>5</v>
      </c>
      <c r="B574" s="70" t="str">
        <f>TEXT("20200897",REPT(0,8))</f>
        <v>20200897</v>
      </c>
      <c r="C574" s="83" t="s">
        <v>169</v>
      </c>
      <c r="D574" s="70" t="s">
        <v>7</v>
      </c>
      <c r="E574" s="40">
        <v>1</v>
      </c>
    </row>
    <row r="575" customHeight="1" spans="1:5">
      <c r="A575" s="40" t="s">
        <v>5</v>
      </c>
      <c r="B575" s="70" t="str">
        <f>TEXT("20200900",REPT(0,8))</f>
        <v>20200900</v>
      </c>
      <c r="C575" s="83" t="s">
        <v>170</v>
      </c>
      <c r="D575" s="70" t="s">
        <v>7</v>
      </c>
      <c r="E575" s="40">
        <v>1</v>
      </c>
    </row>
    <row r="576" customHeight="1" spans="1:5">
      <c r="A576" s="40" t="s">
        <v>5</v>
      </c>
      <c r="B576" s="70" t="str">
        <f>TEXT("20200901",REPT(0,8))</f>
        <v>20200901</v>
      </c>
      <c r="C576" s="83" t="s">
        <v>95</v>
      </c>
      <c r="D576" s="70" t="s">
        <v>7</v>
      </c>
      <c r="E576" s="40">
        <v>1</v>
      </c>
    </row>
    <row r="577" customHeight="1" spans="1:5">
      <c r="A577" s="40" t="s">
        <v>5</v>
      </c>
      <c r="B577" s="70" t="str">
        <f>TEXT("20200904",REPT(0,8))</f>
        <v>20200904</v>
      </c>
      <c r="C577" s="83" t="s">
        <v>171</v>
      </c>
      <c r="D577" s="70" t="s">
        <v>7</v>
      </c>
      <c r="E577" s="40">
        <v>1</v>
      </c>
    </row>
    <row r="578" customHeight="1" spans="1:5">
      <c r="A578" s="40" t="s">
        <v>5</v>
      </c>
      <c r="B578" s="70" t="str">
        <f>TEXT("20200905",REPT(0,8))</f>
        <v>20200905</v>
      </c>
      <c r="C578" s="83" t="s">
        <v>172</v>
      </c>
      <c r="D578" s="70" t="s">
        <v>7</v>
      </c>
      <c r="E578" s="40">
        <v>1</v>
      </c>
    </row>
    <row r="579" customHeight="1" spans="1:5">
      <c r="A579" s="40" t="s">
        <v>5</v>
      </c>
      <c r="B579" s="70" t="str">
        <f>TEXT("20200908",REPT(0,8))</f>
        <v>20200908</v>
      </c>
      <c r="C579" s="83" t="s">
        <v>173</v>
      </c>
      <c r="D579" s="70" t="s">
        <v>7</v>
      </c>
      <c r="E579" s="40">
        <v>1</v>
      </c>
    </row>
    <row r="580" customHeight="1" spans="1:5">
      <c r="A580" s="40" t="s">
        <v>5</v>
      </c>
      <c r="B580" s="70" t="str">
        <f>TEXT("20200909",REPT(0,8))</f>
        <v>20200909</v>
      </c>
      <c r="C580" s="83" t="s">
        <v>174</v>
      </c>
      <c r="D580" s="70" t="s">
        <v>7</v>
      </c>
      <c r="E580" s="40">
        <v>1</v>
      </c>
    </row>
    <row r="581" customHeight="1" spans="1:5">
      <c r="A581" s="40" t="s">
        <v>5</v>
      </c>
      <c r="B581" s="70" t="str">
        <f>TEXT("20200912",REPT(0,8))</f>
        <v>20200912</v>
      </c>
      <c r="C581" s="83" t="s">
        <v>175</v>
      </c>
      <c r="D581" s="70" t="s">
        <v>7</v>
      </c>
      <c r="E581" s="40">
        <v>1</v>
      </c>
    </row>
    <row r="582" customHeight="1" spans="1:5">
      <c r="A582" s="40" t="s">
        <v>5</v>
      </c>
      <c r="B582" s="70" t="str">
        <f>TEXT("20200913",REPT(0,8))</f>
        <v>20200913</v>
      </c>
      <c r="C582" s="83" t="s">
        <v>176</v>
      </c>
      <c r="D582" s="70" t="s">
        <v>7</v>
      </c>
      <c r="E582" s="40">
        <v>1</v>
      </c>
    </row>
    <row r="583" customHeight="1" spans="1:5">
      <c r="A583" s="40" t="s">
        <v>5</v>
      </c>
      <c r="B583" s="70" t="str">
        <f>TEXT("20200914",REPT(0,8))</f>
        <v>20200914</v>
      </c>
      <c r="C583" s="83" t="s">
        <v>176</v>
      </c>
      <c r="D583" s="70" t="s">
        <v>7</v>
      </c>
      <c r="E583" s="40">
        <v>1</v>
      </c>
    </row>
    <row r="584" customHeight="1" spans="1:5">
      <c r="A584" s="40" t="s">
        <v>5</v>
      </c>
      <c r="B584" s="70" t="str">
        <f>TEXT("20200918",REPT(0,8))</f>
        <v>20200918</v>
      </c>
      <c r="C584" s="83" t="s">
        <v>177</v>
      </c>
      <c r="D584" s="70" t="s">
        <v>7</v>
      </c>
      <c r="E584" s="40">
        <v>1</v>
      </c>
    </row>
    <row r="585" customHeight="1" spans="1:5">
      <c r="A585" s="40" t="s">
        <v>5</v>
      </c>
      <c r="B585" s="70" t="str">
        <f>TEXT("20200919",REPT(0,8))</f>
        <v>20200919</v>
      </c>
      <c r="C585" s="83" t="s">
        <v>178</v>
      </c>
      <c r="D585" s="70" t="s">
        <v>7</v>
      </c>
      <c r="E585" s="40">
        <v>1</v>
      </c>
    </row>
    <row r="586" customHeight="1" spans="1:5">
      <c r="A586" s="40" t="s">
        <v>5</v>
      </c>
      <c r="B586" s="70" t="str">
        <f>TEXT("20200922",REPT(0,8))</f>
        <v>20200922</v>
      </c>
      <c r="C586" s="83" t="s">
        <v>179</v>
      </c>
      <c r="D586" s="70" t="s">
        <v>7</v>
      </c>
      <c r="E586" s="40">
        <v>1</v>
      </c>
    </row>
    <row r="587" customHeight="1" spans="1:5">
      <c r="A587" s="40" t="s">
        <v>5</v>
      </c>
      <c r="B587" s="70" t="str">
        <f>TEXT("20200923",REPT(0,8))</f>
        <v>20200923</v>
      </c>
      <c r="C587" s="83" t="s">
        <v>180</v>
      </c>
      <c r="D587" s="70" t="s">
        <v>7</v>
      </c>
      <c r="E587" s="40">
        <v>1</v>
      </c>
    </row>
    <row r="588" customHeight="1" spans="1:5">
      <c r="A588" s="40" t="s">
        <v>5</v>
      </c>
      <c r="B588" s="70" t="str">
        <f>TEXT("20200924",REPT(0,8))</f>
        <v>20200924</v>
      </c>
      <c r="C588" s="83" t="s">
        <v>180</v>
      </c>
      <c r="D588" s="70" t="s">
        <v>7</v>
      </c>
      <c r="E588" s="40">
        <v>1</v>
      </c>
    </row>
    <row r="589" customHeight="1" spans="1:5">
      <c r="A589" s="40" t="s">
        <v>5</v>
      </c>
      <c r="B589" s="70" t="str">
        <f>TEXT("20200925",REPT(0,8))</f>
        <v>20200925</v>
      </c>
      <c r="C589" s="83" t="s">
        <v>180</v>
      </c>
      <c r="D589" s="70" t="s">
        <v>7</v>
      </c>
      <c r="E589" s="40">
        <v>1</v>
      </c>
    </row>
    <row r="590" customHeight="1" spans="1:5">
      <c r="A590" s="40" t="s">
        <v>5</v>
      </c>
      <c r="B590" s="70" t="str">
        <f>TEXT("20200926",REPT(0,8))</f>
        <v>20200926</v>
      </c>
      <c r="C590" s="83" t="s">
        <v>180</v>
      </c>
      <c r="D590" s="70" t="s">
        <v>7</v>
      </c>
      <c r="E590" s="40">
        <v>1</v>
      </c>
    </row>
    <row r="591" customHeight="1" spans="1:5">
      <c r="A591" s="40" t="s">
        <v>5</v>
      </c>
      <c r="B591" s="70" t="str">
        <f>TEXT("20200971",REPT(0,8))</f>
        <v>20200971</v>
      </c>
      <c r="C591" s="83" t="s">
        <v>108</v>
      </c>
      <c r="D591" s="70" t="s">
        <v>7</v>
      </c>
      <c r="E591" s="40">
        <v>1</v>
      </c>
    </row>
    <row r="592" customHeight="1" spans="1:5">
      <c r="A592" s="40" t="s">
        <v>5</v>
      </c>
      <c r="B592" s="70" t="str">
        <f>TEXT("20210720",REPT(0,8))</f>
        <v>20210720</v>
      </c>
      <c r="C592" s="83" t="s">
        <v>181</v>
      </c>
      <c r="D592" s="70" t="s">
        <v>7</v>
      </c>
      <c r="E592" s="40">
        <v>1</v>
      </c>
    </row>
    <row r="593" customHeight="1" spans="1:5">
      <c r="A593" s="40" t="s">
        <v>5</v>
      </c>
      <c r="B593" s="70" t="str">
        <f>TEXT("20220206",REPT(0,8))</f>
        <v>20220206</v>
      </c>
      <c r="C593" s="83" t="s">
        <v>35</v>
      </c>
      <c r="D593" s="70" t="s">
        <v>7</v>
      </c>
      <c r="E593" s="40">
        <v>1</v>
      </c>
    </row>
    <row r="594" customHeight="1" spans="1:5">
      <c r="A594" s="40" t="s">
        <v>5</v>
      </c>
      <c r="B594" s="70" t="str">
        <f>TEXT("20220207",REPT(0,8))</f>
        <v>20220207</v>
      </c>
      <c r="C594" s="83" t="s">
        <v>35</v>
      </c>
      <c r="D594" s="70" t="s">
        <v>7</v>
      </c>
      <c r="E594" s="40">
        <v>1</v>
      </c>
    </row>
    <row r="595" customHeight="1" spans="1:5">
      <c r="A595" s="40" t="s">
        <v>5</v>
      </c>
      <c r="B595" s="70" t="str">
        <f>TEXT("20220420",REPT(0,8))</f>
        <v>20220420</v>
      </c>
      <c r="C595" s="83" t="s">
        <v>167</v>
      </c>
      <c r="D595" s="70" t="s">
        <v>7</v>
      </c>
      <c r="E595" s="40">
        <v>1</v>
      </c>
    </row>
    <row r="596" customHeight="1" spans="1:5">
      <c r="A596" s="40" t="s">
        <v>5</v>
      </c>
      <c r="B596" s="70" t="str">
        <f>TEXT("20220421",REPT(0,8))</f>
        <v>20220421</v>
      </c>
      <c r="C596" s="83" t="s">
        <v>182</v>
      </c>
      <c r="D596" s="70" t="s">
        <v>7</v>
      </c>
      <c r="E596" s="40">
        <v>1</v>
      </c>
    </row>
    <row r="597" customHeight="1" spans="1:5">
      <c r="A597" s="40" t="s">
        <v>5</v>
      </c>
      <c r="B597" s="70" t="str">
        <f>TEXT("20220422",REPT(0,8))</f>
        <v>20220422</v>
      </c>
      <c r="C597" s="83" t="s">
        <v>182</v>
      </c>
      <c r="D597" s="70" t="s">
        <v>7</v>
      </c>
      <c r="E597" s="40">
        <v>1</v>
      </c>
    </row>
    <row r="598" customHeight="1" spans="1:5">
      <c r="A598" s="40" t="s">
        <v>5</v>
      </c>
      <c r="B598" s="70" t="str">
        <f>TEXT("20220423",REPT(0,8))</f>
        <v>20220423</v>
      </c>
      <c r="C598" s="83" t="s">
        <v>168</v>
      </c>
      <c r="D598" s="70" t="s">
        <v>7</v>
      </c>
      <c r="E598" s="40">
        <v>1</v>
      </c>
    </row>
    <row r="599" customHeight="1" spans="1:5">
      <c r="A599" s="40" t="s">
        <v>5</v>
      </c>
      <c r="B599" s="70" t="str">
        <f>TEXT("20220424",REPT(0,8))</f>
        <v>20220424</v>
      </c>
      <c r="C599" s="83" t="s">
        <v>168</v>
      </c>
      <c r="D599" s="70" t="s">
        <v>7</v>
      </c>
      <c r="E599" s="40">
        <v>1</v>
      </c>
    </row>
    <row r="600" customHeight="1" spans="1:5">
      <c r="A600" s="40" t="s">
        <v>5</v>
      </c>
      <c r="B600" s="70" t="str">
        <f>TEXT("20220425",REPT(0,8))</f>
        <v>20220425</v>
      </c>
      <c r="C600" s="83" t="s">
        <v>179</v>
      </c>
      <c r="D600" s="70" t="s">
        <v>7</v>
      </c>
      <c r="E600" s="40">
        <v>1</v>
      </c>
    </row>
    <row r="601" customHeight="1" spans="1:5">
      <c r="A601" s="40" t="s">
        <v>5</v>
      </c>
      <c r="B601" s="70">
        <v>20020280</v>
      </c>
      <c r="C601" s="83" t="s">
        <v>183</v>
      </c>
      <c r="D601" s="70" t="s">
        <v>7</v>
      </c>
      <c r="E601" s="40">
        <v>1</v>
      </c>
    </row>
    <row r="602" customHeight="1" spans="1:5">
      <c r="A602" s="40" t="s">
        <v>5</v>
      </c>
      <c r="B602" s="70">
        <v>20020281</v>
      </c>
      <c r="C602" s="83" t="s">
        <v>183</v>
      </c>
      <c r="D602" s="70" t="s">
        <v>7</v>
      </c>
      <c r="E602" s="40">
        <v>1</v>
      </c>
    </row>
    <row r="603" customHeight="1" spans="1:5">
      <c r="A603" s="40" t="s">
        <v>5</v>
      </c>
      <c r="B603" s="70">
        <v>20020282</v>
      </c>
      <c r="C603" s="83" t="s">
        <v>183</v>
      </c>
      <c r="D603" s="70" t="s">
        <v>7</v>
      </c>
      <c r="E603" s="40">
        <v>1</v>
      </c>
    </row>
    <row r="604" customHeight="1" spans="1:5">
      <c r="A604" s="40" t="s">
        <v>5</v>
      </c>
      <c r="B604" s="70">
        <v>20020283</v>
      </c>
      <c r="C604" s="83" t="s">
        <v>183</v>
      </c>
      <c r="D604" s="70" t="s">
        <v>7</v>
      </c>
      <c r="E604" s="40">
        <v>1</v>
      </c>
    </row>
    <row r="605" customHeight="1" spans="1:5">
      <c r="A605" s="40" t="s">
        <v>5</v>
      </c>
      <c r="B605" s="70">
        <v>20020284</v>
      </c>
      <c r="C605" s="83" t="s">
        <v>183</v>
      </c>
      <c r="D605" s="70" t="s">
        <v>7</v>
      </c>
      <c r="E605" s="40">
        <v>1</v>
      </c>
    </row>
    <row r="606" customHeight="1" spans="1:5">
      <c r="A606" s="40" t="s">
        <v>5</v>
      </c>
      <c r="B606" s="70">
        <v>20051001</v>
      </c>
      <c r="C606" s="83" t="s">
        <v>184</v>
      </c>
      <c r="D606" s="70" t="s">
        <v>7</v>
      </c>
      <c r="E606" s="40">
        <v>1</v>
      </c>
    </row>
    <row r="607" customHeight="1" spans="1:5">
      <c r="A607" s="40" t="s">
        <v>5</v>
      </c>
      <c r="B607" s="70">
        <v>20051002</v>
      </c>
      <c r="C607" s="83" t="s">
        <v>184</v>
      </c>
      <c r="D607" s="70" t="s">
        <v>7</v>
      </c>
      <c r="E607" s="40">
        <v>1</v>
      </c>
    </row>
    <row r="608" customHeight="1" spans="1:5">
      <c r="A608" s="40" t="s">
        <v>5</v>
      </c>
      <c r="B608" s="70">
        <v>20051003</v>
      </c>
      <c r="C608" s="83" t="s">
        <v>184</v>
      </c>
      <c r="D608" s="70" t="s">
        <v>7</v>
      </c>
      <c r="E608" s="40">
        <v>1</v>
      </c>
    </row>
    <row r="609" customHeight="1" spans="1:5">
      <c r="A609" s="40" t="s">
        <v>5</v>
      </c>
      <c r="B609" s="70">
        <v>20051004</v>
      </c>
      <c r="C609" s="83" t="s">
        <v>184</v>
      </c>
      <c r="D609" s="70" t="s">
        <v>7</v>
      </c>
      <c r="E609" s="40">
        <v>1</v>
      </c>
    </row>
    <row r="610" customHeight="1" spans="1:5">
      <c r="A610" s="40" t="s">
        <v>5</v>
      </c>
      <c r="B610" s="70">
        <v>20051005</v>
      </c>
      <c r="C610" s="83" t="s">
        <v>184</v>
      </c>
      <c r="D610" s="70" t="s">
        <v>7</v>
      </c>
      <c r="E610" s="40">
        <v>1</v>
      </c>
    </row>
    <row r="611" customHeight="1" spans="1:5">
      <c r="A611" s="40" t="s">
        <v>5</v>
      </c>
      <c r="B611" s="70">
        <v>20051006</v>
      </c>
      <c r="C611" s="83" t="s">
        <v>184</v>
      </c>
      <c r="D611" s="70" t="s">
        <v>7</v>
      </c>
      <c r="E611" s="40">
        <v>1</v>
      </c>
    </row>
    <row r="612" customHeight="1" spans="1:5">
      <c r="A612" s="40" t="s">
        <v>5</v>
      </c>
      <c r="B612" s="70">
        <v>20051007</v>
      </c>
      <c r="C612" s="83" t="s">
        <v>185</v>
      </c>
      <c r="D612" s="70" t="s">
        <v>7</v>
      </c>
      <c r="E612" s="40">
        <v>1</v>
      </c>
    </row>
    <row r="613" customHeight="1" spans="1:5">
      <c r="A613" s="40" t="s">
        <v>5</v>
      </c>
      <c r="B613" s="70">
        <v>20051008</v>
      </c>
      <c r="C613" s="83" t="s">
        <v>185</v>
      </c>
      <c r="D613" s="70" t="s">
        <v>7</v>
      </c>
      <c r="E613" s="40">
        <v>1</v>
      </c>
    </row>
    <row r="614" customHeight="1" spans="1:5">
      <c r="A614" s="40" t="s">
        <v>5</v>
      </c>
      <c r="B614" s="70">
        <v>20051009</v>
      </c>
      <c r="C614" s="83" t="s">
        <v>185</v>
      </c>
      <c r="D614" s="70" t="s">
        <v>7</v>
      </c>
      <c r="E614" s="40">
        <v>1</v>
      </c>
    </row>
    <row r="615" customHeight="1" spans="1:5">
      <c r="A615" s="40" t="s">
        <v>5</v>
      </c>
      <c r="B615" s="70">
        <v>20051010</v>
      </c>
      <c r="C615" s="83" t="s">
        <v>185</v>
      </c>
      <c r="D615" s="70" t="s">
        <v>7</v>
      </c>
      <c r="E615" s="40">
        <v>1</v>
      </c>
    </row>
    <row r="616" customHeight="1" spans="1:5">
      <c r="A616" s="40" t="s">
        <v>5</v>
      </c>
      <c r="B616" s="70">
        <v>20051011</v>
      </c>
      <c r="C616" s="83" t="s">
        <v>185</v>
      </c>
      <c r="D616" s="70" t="s">
        <v>7</v>
      </c>
      <c r="E616" s="40">
        <v>1</v>
      </c>
    </row>
    <row r="617" customHeight="1" spans="1:5">
      <c r="A617" s="40" t="s">
        <v>5</v>
      </c>
      <c r="B617" s="70">
        <v>20051012</v>
      </c>
      <c r="C617" s="83" t="s">
        <v>186</v>
      </c>
      <c r="D617" s="70" t="s">
        <v>7</v>
      </c>
      <c r="E617" s="40">
        <v>1</v>
      </c>
    </row>
    <row r="618" customHeight="1" spans="1:5">
      <c r="A618" s="40" t="s">
        <v>5</v>
      </c>
      <c r="B618" s="70">
        <v>20051017</v>
      </c>
      <c r="C618" s="83" t="s">
        <v>187</v>
      </c>
      <c r="D618" s="70" t="s">
        <v>7</v>
      </c>
      <c r="E618" s="40">
        <v>1</v>
      </c>
    </row>
    <row r="619" customHeight="1" spans="1:5">
      <c r="A619" s="40" t="s">
        <v>5</v>
      </c>
      <c r="B619" s="70">
        <v>20051018</v>
      </c>
      <c r="C619" s="83" t="s">
        <v>187</v>
      </c>
      <c r="D619" s="70" t="s">
        <v>7</v>
      </c>
      <c r="E619" s="40">
        <v>1</v>
      </c>
    </row>
    <row r="620" customHeight="1" spans="1:5">
      <c r="A620" s="40" t="s">
        <v>5</v>
      </c>
      <c r="B620" s="70">
        <v>20051019</v>
      </c>
      <c r="C620" s="83" t="s">
        <v>187</v>
      </c>
      <c r="D620" s="70" t="s">
        <v>7</v>
      </c>
      <c r="E620" s="40">
        <v>1</v>
      </c>
    </row>
    <row r="621" customHeight="1" spans="1:5">
      <c r="A621" s="40" t="s">
        <v>5</v>
      </c>
      <c r="B621" s="70">
        <v>20051020</v>
      </c>
      <c r="C621" s="83" t="s">
        <v>187</v>
      </c>
      <c r="D621" s="70" t="s">
        <v>7</v>
      </c>
      <c r="E621" s="40">
        <v>1</v>
      </c>
    </row>
    <row r="622" customHeight="1" spans="1:5">
      <c r="A622" s="40" t="s">
        <v>5</v>
      </c>
      <c r="B622" s="70">
        <v>20051021</v>
      </c>
      <c r="C622" s="83" t="s">
        <v>187</v>
      </c>
      <c r="D622" s="70" t="s">
        <v>7</v>
      </c>
      <c r="E622" s="40">
        <v>1</v>
      </c>
    </row>
    <row r="623" customHeight="1" spans="1:5">
      <c r="A623" s="40" t="s">
        <v>5</v>
      </c>
      <c r="B623" s="70">
        <v>20051022</v>
      </c>
      <c r="C623" s="83" t="s">
        <v>187</v>
      </c>
      <c r="D623" s="70" t="s">
        <v>7</v>
      </c>
      <c r="E623" s="40">
        <v>1</v>
      </c>
    </row>
    <row r="624" customHeight="1" spans="1:5">
      <c r="A624" s="40" t="s">
        <v>5</v>
      </c>
      <c r="B624" s="70">
        <v>20051023</v>
      </c>
      <c r="C624" s="83" t="s">
        <v>187</v>
      </c>
      <c r="D624" s="70" t="s">
        <v>7</v>
      </c>
      <c r="E624" s="40">
        <v>1</v>
      </c>
    </row>
    <row r="625" customHeight="1" spans="1:5">
      <c r="A625" s="40" t="s">
        <v>5</v>
      </c>
      <c r="B625" s="70">
        <v>20051024</v>
      </c>
      <c r="C625" s="83" t="s">
        <v>187</v>
      </c>
      <c r="D625" s="70" t="s">
        <v>7</v>
      </c>
      <c r="E625" s="40">
        <v>1</v>
      </c>
    </row>
    <row r="626" customHeight="1" spans="1:5">
      <c r="A626" s="40" t="s">
        <v>5</v>
      </c>
      <c r="B626" s="70">
        <v>20051025</v>
      </c>
      <c r="C626" s="83" t="s">
        <v>187</v>
      </c>
      <c r="D626" s="70" t="s">
        <v>7</v>
      </c>
      <c r="E626" s="40">
        <v>1</v>
      </c>
    </row>
    <row r="627" customHeight="1" spans="1:5">
      <c r="A627" s="40" t="s">
        <v>5</v>
      </c>
      <c r="B627" s="70">
        <v>20051026</v>
      </c>
      <c r="C627" s="83" t="s">
        <v>187</v>
      </c>
      <c r="D627" s="70" t="s">
        <v>7</v>
      </c>
      <c r="E627" s="40">
        <v>1</v>
      </c>
    </row>
    <row r="628" customHeight="1" spans="1:5">
      <c r="A628" s="40" t="s">
        <v>5</v>
      </c>
      <c r="B628" s="70">
        <v>20051027</v>
      </c>
      <c r="C628" s="83" t="s">
        <v>187</v>
      </c>
      <c r="D628" s="70" t="s">
        <v>7</v>
      </c>
      <c r="E628" s="40">
        <v>1</v>
      </c>
    </row>
    <row r="629" customHeight="1" spans="1:5">
      <c r="A629" s="40" t="s">
        <v>5</v>
      </c>
      <c r="B629" s="70">
        <v>20051028</v>
      </c>
      <c r="C629" s="83" t="s">
        <v>187</v>
      </c>
      <c r="D629" s="70" t="s">
        <v>7</v>
      </c>
      <c r="E629" s="40">
        <v>1</v>
      </c>
    </row>
    <row r="630" customHeight="1" spans="1:5">
      <c r="A630" s="40" t="s">
        <v>5</v>
      </c>
      <c r="B630" s="70">
        <v>20051029</v>
      </c>
      <c r="C630" s="83" t="s">
        <v>6</v>
      </c>
      <c r="D630" s="70" t="s">
        <v>7</v>
      </c>
      <c r="E630" s="40">
        <v>1</v>
      </c>
    </row>
    <row r="631" customHeight="1" spans="1:5">
      <c r="A631" s="40" t="s">
        <v>5</v>
      </c>
      <c r="B631" s="70">
        <v>20051031</v>
      </c>
      <c r="C631" s="83" t="s">
        <v>188</v>
      </c>
      <c r="D631" s="70" t="s">
        <v>7</v>
      </c>
      <c r="E631" s="40">
        <v>1</v>
      </c>
    </row>
    <row r="632" customHeight="1" spans="1:5">
      <c r="A632" s="40" t="s">
        <v>5</v>
      </c>
      <c r="B632" s="70">
        <v>20090488</v>
      </c>
      <c r="C632" s="83" t="s">
        <v>184</v>
      </c>
      <c r="D632" s="70" t="s">
        <v>7</v>
      </c>
      <c r="E632" s="40">
        <v>1</v>
      </c>
    </row>
    <row r="633" customHeight="1" spans="1:5">
      <c r="A633" s="40" t="s">
        <v>5</v>
      </c>
      <c r="B633" s="70">
        <v>20090489</v>
      </c>
      <c r="C633" s="83" t="s">
        <v>184</v>
      </c>
      <c r="D633" s="70" t="s">
        <v>7</v>
      </c>
      <c r="E633" s="40">
        <v>1</v>
      </c>
    </row>
    <row r="634" customHeight="1" spans="1:5">
      <c r="A634" s="40" t="s">
        <v>5</v>
      </c>
      <c r="B634" s="70">
        <v>20090490</v>
      </c>
      <c r="C634" s="83" t="s">
        <v>184</v>
      </c>
      <c r="D634" s="70" t="s">
        <v>7</v>
      </c>
      <c r="E634" s="40">
        <v>1</v>
      </c>
    </row>
    <row r="635" customHeight="1" spans="1:5">
      <c r="A635" s="40" t="s">
        <v>5</v>
      </c>
      <c r="B635" s="70">
        <v>20090491</v>
      </c>
      <c r="C635" s="83" t="s">
        <v>184</v>
      </c>
      <c r="D635" s="70" t="s">
        <v>7</v>
      </c>
      <c r="E635" s="40">
        <v>1</v>
      </c>
    </row>
    <row r="636" customHeight="1" spans="1:5">
      <c r="A636" s="40" t="s">
        <v>5</v>
      </c>
      <c r="B636" s="70">
        <v>20090492</v>
      </c>
      <c r="C636" s="83" t="s">
        <v>184</v>
      </c>
      <c r="D636" s="70" t="s">
        <v>7</v>
      </c>
      <c r="E636" s="40">
        <v>1</v>
      </c>
    </row>
    <row r="637" customHeight="1" spans="1:5">
      <c r="A637" s="40" t="s">
        <v>5</v>
      </c>
      <c r="B637" s="70">
        <v>20090493</v>
      </c>
      <c r="C637" s="83" t="s">
        <v>184</v>
      </c>
      <c r="D637" s="70" t="s">
        <v>7</v>
      </c>
      <c r="E637" s="40">
        <v>1</v>
      </c>
    </row>
    <row r="638" customHeight="1" spans="1:5">
      <c r="A638" s="40" t="s">
        <v>5</v>
      </c>
      <c r="B638" s="70">
        <v>20090494</v>
      </c>
      <c r="C638" s="83" t="s">
        <v>184</v>
      </c>
      <c r="D638" s="70" t="s">
        <v>7</v>
      </c>
      <c r="E638" s="40">
        <v>1</v>
      </c>
    </row>
    <row r="639" customHeight="1" spans="1:5">
      <c r="A639" s="40" t="s">
        <v>5</v>
      </c>
      <c r="B639" s="70">
        <v>20090495</v>
      </c>
      <c r="C639" s="83" t="s">
        <v>184</v>
      </c>
      <c r="D639" s="70" t="s">
        <v>7</v>
      </c>
      <c r="E639" s="40">
        <v>1</v>
      </c>
    </row>
    <row r="640" customHeight="1" spans="1:5">
      <c r="A640" s="40" t="s">
        <v>5</v>
      </c>
      <c r="B640" s="70">
        <v>20090496</v>
      </c>
      <c r="C640" s="83" t="s">
        <v>184</v>
      </c>
      <c r="D640" s="70" t="s">
        <v>7</v>
      </c>
      <c r="E640" s="40">
        <v>1</v>
      </c>
    </row>
    <row r="641" customHeight="1" spans="1:5">
      <c r="A641" s="40" t="s">
        <v>5</v>
      </c>
      <c r="B641" s="70">
        <v>20090497</v>
      </c>
      <c r="C641" s="83" t="s">
        <v>184</v>
      </c>
      <c r="D641" s="70" t="s">
        <v>7</v>
      </c>
      <c r="E641" s="40">
        <v>1</v>
      </c>
    </row>
    <row r="642" customHeight="1" spans="1:5">
      <c r="A642" s="40" t="s">
        <v>5</v>
      </c>
      <c r="B642" s="70">
        <v>20090498</v>
      </c>
      <c r="C642" s="83" t="s">
        <v>184</v>
      </c>
      <c r="D642" s="70" t="s">
        <v>7</v>
      </c>
      <c r="E642" s="40">
        <v>1</v>
      </c>
    </row>
    <row r="643" customHeight="1" spans="1:5">
      <c r="A643" s="40" t="s">
        <v>5</v>
      </c>
      <c r="B643" s="70">
        <v>20090499</v>
      </c>
      <c r="C643" s="83" t="s">
        <v>184</v>
      </c>
      <c r="D643" s="70" t="s">
        <v>7</v>
      </c>
      <c r="E643" s="40">
        <v>1</v>
      </c>
    </row>
    <row r="644" customHeight="1" spans="1:5">
      <c r="A644" s="40" t="s">
        <v>5</v>
      </c>
      <c r="B644" s="70">
        <v>20090500</v>
      </c>
      <c r="C644" s="83" t="s">
        <v>183</v>
      </c>
      <c r="D644" s="70" t="s">
        <v>7</v>
      </c>
      <c r="E644" s="40">
        <v>1</v>
      </c>
    </row>
    <row r="645" customHeight="1" spans="1:5">
      <c r="A645" s="40" t="s">
        <v>5</v>
      </c>
      <c r="B645" s="70">
        <v>20090501</v>
      </c>
      <c r="C645" s="83" t="s">
        <v>183</v>
      </c>
      <c r="D645" s="70" t="s">
        <v>7</v>
      </c>
      <c r="E645" s="40">
        <v>1</v>
      </c>
    </row>
    <row r="646" customHeight="1" spans="1:5">
      <c r="A646" s="40" t="s">
        <v>5</v>
      </c>
      <c r="B646" s="70">
        <v>20090502</v>
      </c>
      <c r="C646" s="83" t="s">
        <v>183</v>
      </c>
      <c r="D646" s="70" t="s">
        <v>7</v>
      </c>
      <c r="E646" s="40">
        <v>1</v>
      </c>
    </row>
    <row r="647" customHeight="1" spans="1:5">
      <c r="A647" s="40" t="s">
        <v>5</v>
      </c>
      <c r="B647" s="70">
        <v>20090503</v>
      </c>
      <c r="C647" s="83" t="s">
        <v>183</v>
      </c>
      <c r="D647" s="70" t="s">
        <v>7</v>
      </c>
      <c r="E647" s="40">
        <v>1</v>
      </c>
    </row>
    <row r="648" customHeight="1" spans="1:5">
      <c r="A648" s="40" t="s">
        <v>5</v>
      </c>
      <c r="B648" s="70">
        <v>20090504</v>
      </c>
      <c r="C648" s="83" t="s">
        <v>183</v>
      </c>
      <c r="D648" s="70" t="s">
        <v>7</v>
      </c>
      <c r="E648" s="40">
        <v>1</v>
      </c>
    </row>
    <row r="649" customHeight="1" spans="1:5">
      <c r="A649" s="40" t="s">
        <v>5</v>
      </c>
      <c r="B649" s="70">
        <v>20090505</v>
      </c>
      <c r="C649" s="83" t="s">
        <v>183</v>
      </c>
      <c r="D649" s="70" t="s">
        <v>7</v>
      </c>
      <c r="E649" s="40">
        <v>1</v>
      </c>
    </row>
    <row r="650" customHeight="1" spans="1:5">
      <c r="A650" s="40" t="s">
        <v>5</v>
      </c>
      <c r="B650" s="70">
        <v>20090506</v>
      </c>
      <c r="C650" s="83" t="s">
        <v>183</v>
      </c>
      <c r="D650" s="70" t="s">
        <v>7</v>
      </c>
      <c r="E650" s="40">
        <v>1</v>
      </c>
    </row>
    <row r="651" customHeight="1" spans="1:5">
      <c r="A651" s="40" t="s">
        <v>5</v>
      </c>
      <c r="B651" s="70">
        <v>20090507</v>
      </c>
      <c r="C651" s="83" t="s">
        <v>183</v>
      </c>
      <c r="D651" s="70" t="s">
        <v>7</v>
      </c>
      <c r="E651" s="40">
        <v>1</v>
      </c>
    </row>
    <row r="652" customHeight="1" spans="1:5">
      <c r="A652" s="40" t="s">
        <v>5</v>
      </c>
      <c r="B652" s="70">
        <v>20090508</v>
      </c>
      <c r="C652" s="83" t="s">
        <v>183</v>
      </c>
      <c r="D652" s="70" t="s">
        <v>7</v>
      </c>
      <c r="E652" s="40">
        <v>1</v>
      </c>
    </row>
    <row r="653" customHeight="1" spans="1:5">
      <c r="A653" s="40" t="s">
        <v>5</v>
      </c>
      <c r="B653" s="70">
        <v>20090509</v>
      </c>
      <c r="C653" s="83" t="s">
        <v>183</v>
      </c>
      <c r="D653" s="70" t="s">
        <v>7</v>
      </c>
      <c r="E653" s="40">
        <v>1</v>
      </c>
    </row>
    <row r="654" customHeight="1" spans="1:5">
      <c r="A654" s="40" t="s">
        <v>5</v>
      </c>
      <c r="B654" s="70">
        <v>20090510</v>
      </c>
      <c r="C654" s="83" t="s">
        <v>183</v>
      </c>
      <c r="D654" s="70" t="s">
        <v>7</v>
      </c>
      <c r="E654" s="40">
        <v>1</v>
      </c>
    </row>
    <row r="655" customHeight="1" spans="1:5">
      <c r="A655" s="40" t="s">
        <v>5</v>
      </c>
      <c r="B655" s="70">
        <v>20090511</v>
      </c>
      <c r="C655" s="83" t="s">
        <v>183</v>
      </c>
      <c r="D655" s="70" t="s">
        <v>7</v>
      </c>
      <c r="E655" s="40">
        <v>1</v>
      </c>
    </row>
    <row r="656" customHeight="1" spans="1:5">
      <c r="A656" s="40" t="s">
        <v>5</v>
      </c>
      <c r="B656" s="70">
        <v>20090512</v>
      </c>
      <c r="C656" s="83" t="s">
        <v>183</v>
      </c>
      <c r="D656" s="70" t="s">
        <v>7</v>
      </c>
      <c r="E656" s="40">
        <v>1</v>
      </c>
    </row>
    <row r="657" customHeight="1" spans="1:5">
      <c r="A657" s="40" t="s">
        <v>5</v>
      </c>
      <c r="B657" s="70">
        <v>20090513</v>
      </c>
      <c r="C657" s="83" t="s">
        <v>183</v>
      </c>
      <c r="D657" s="70" t="s">
        <v>7</v>
      </c>
      <c r="E657" s="40">
        <v>1</v>
      </c>
    </row>
    <row r="658" customHeight="1" spans="1:5">
      <c r="A658" s="40" t="s">
        <v>5</v>
      </c>
      <c r="B658" s="70">
        <v>20090514</v>
      </c>
      <c r="C658" s="83" t="s">
        <v>183</v>
      </c>
      <c r="D658" s="70" t="s">
        <v>7</v>
      </c>
      <c r="E658" s="40">
        <v>1</v>
      </c>
    </row>
    <row r="659" customHeight="1" spans="1:5">
      <c r="A659" s="40" t="s">
        <v>5</v>
      </c>
      <c r="B659" s="70">
        <v>20090515</v>
      </c>
      <c r="C659" s="83" t="s">
        <v>183</v>
      </c>
      <c r="D659" s="70" t="s">
        <v>7</v>
      </c>
      <c r="E659" s="40">
        <v>1</v>
      </c>
    </row>
    <row r="660" customHeight="1" spans="1:5">
      <c r="A660" s="40" t="s">
        <v>5</v>
      </c>
      <c r="B660" s="70">
        <v>20090516</v>
      </c>
      <c r="C660" s="83" t="s">
        <v>183</v>
      </c>
      <c r="D660" s="70" t="s">
        <v>7</v>
      </c>
      <c r="E660" s="40">
        <v>1</v>
      </c>
    </row>
    <row r="661" customHeight="1" spans="1:5">
      <c r="A661" s="40" t="s">
        <v>5</v>
      </c>
      <c r="B661" s="70">
        <v>20090517</v>
      </c>
      <c r="C661" s="83" t="s">
        <v>183</v>
      </c>
      <c r="D661" s="70" t="s">
        <v>7</v>
      </c>
      <c r="E661" s="40">
        <v>1</v>
      </c>
    </row>
    <row r="662" customHeight="1" spans="1:5">
      <c r="A662" s="40" t="s">
        <v>5</v>
      </c>
      <c r="B662" s="70">
        <v>20090518</v>
      </c>
      <c r="C662" s="83" t="s">
        <v>6</v>
      </c>
      <c r="D662" s="70" t="s">
        <v>7</v>
      </c>
      <c r="E662" s="40">
        <v>1</v>
      </c>
    </row>
    <row r="663" customHeight="1" spans="1:5">
      <c r="A663" s="40" t="s">
        <v>5</v>
      </c>
      <c r="B663" s="70">
        <v>20090519</v>
      </c>
      <c r="C663" s="83" t="s">
        <v>6</v>
      </c>
      <c r="D663" s="70" t="s">
        <v>7</v>
      </c>
      <c r="E663" s="40">
        <v>1</v>
      </c>
    </row>
    <row r="664" customHeight="1" spans="1:5">
      <c r="A664" s="40" t="s">
        <v>5</v>
      </c>
      <c r="B664" s="70">
        <v>20090520</v>
      </c>
      <c r="C664" s="83" t="s">
        <v>6</v>
      </c>
      <c r="D664" s="70" t="s">
        <v>7</v>
      </c>
      <c r="E664" s="40">
        <v>1</v>
      </c>
    </row>
    <row r="665" customHeight="1" spans="1:5">
      <c r="A665" s="40" t="s">
        <v>5</v>
      </c>
      <c r="B665" s="70">
        <v>20090521</v>
      </c>
      <c r="C665" s="83" t="s">
        <v>6</v>
      </c>
      <c r="D665" s="70" t="s">
        <v>7</v>
      </c>
      <c r="E665" s="40">
        <v>1</v>
      </c>
    </row>
    <row r="666" customHeight="1" spans="1:5">
      <c r="A666" s="40" t="s">
        <v>5</v>
      </c>
      <c r="B666" s="70">
        <v>20090522</v>
      </c>
      <c r="C666" s="83" t="s">
        <v>6</v>
      </c>
      <c r="D666" s="70" t="s">
        <v>7</v>
      </c>
      <c r="E666" s="40">
        <v>1</v>
      </c>
    </row>
    <row r="667" customHeight="1" spans="1:5">
      <c r="A667" s="40" t="s">
        <v>5</v>
      </c>
      <c r="B667" s="70">
        <v>20090523</v>
      </c>
      <c r="C667" s="83" t="s">
        <v>6</v>
      </c>
      <c r="D667" s="70" t="s">
        <v>7</v>
      </c>
      <c r="E667" s="40">
        <v>1</v>
      </c>
    </row>
    <row r="668" customHeight="1" spans="1:5">
      <c r="A668" s="40" t="s">
        <v>5</v>
      </c>
      <c r="B668" s="70">
        <v>20090524</v>
      </c>
      <c r="C668" s="83" t="s">
        <v>6</v>
      </c>
      <c r="D668" s="70" t="s">
        <v>7</v>
      </c>
      <c r="E668" s="40">
        <v>1</v>
      </c>
    </row>
    <row r="669" customHeight="1" spans="1:5">
      <c r="A669" s="40" t="s">
        <v>5</v>
      </c>
      <c r="B669" s="70">
        <v>20090525</v>
      </c>
      <c r="C669" s="83" t="s">
        <v>6</v>
      </c>
      <c r="D669" s="70" t="s">
        <v>7</v>
      </c>
      <c r="E669" s="40">
        <v>1</v>
      </c>
    </row>
    <row r="670" customHeight="1" spans="1:5">
      <c r="A670" s="40" t="s">
        <v>5</v>
      </c>
      <c r="B670" s="70">
        <v>20090526</v>
      </c>
      <c r="C670" s="83" t="s">
        <v>6</v>
      </c>
      <c r="D670" s="70" t="s">
        <v>7</v>
      </c>
      <c r="E670" s="40">
        <v>1</v>
      </c>
    </row>
    <row r="671" customHeight="1" spans="1:5">
      <c r="A671" s="40" t="s">
        <v>5</v>
      </c>
      <c r="B671" s="70">
        <v>20090527</v>
      </c>
      <c r="C671" s="83" t="s">
        <v>6</v>
      </c>
      <c r="D671" s="70" t="s">
        <v>7</v>
      </c>
      <c r="E671" s="40">
        <v>1</v>
      </c>
    </row>
    <row r="672" customHeight="1" spans="1:5">
      <c r="A672" s="40" t="s">
        <v>5</v>
      </c>
      <c r="B672" s="70">
        <v>20090528</v>
      </c>
      <c r="C672" s="83" t="s">
        <v>6</v>
      </c>
      <c r="D672" s="70" t="s">
        <v>7</v>
      </c>
      <c r="E672" s="40">
        <v>1</v>
      </c>
    </row>
    <row r="673" customHeight="1" spans="1:5">
      <c r="A673" s="40" t="s">
        <v>5</v>
      </c>
      <c r="B673" s="70">
        <v>20090529</v>
      </c>
      <c r="C673" s="83" t="s">
        <v>6</v>
      </c>
      <c r="D673" s="70" t="s">
        <v>7</v>
      </c>
      <c r="E673" s="40">
        <v>1</v>
      </c>
    </row>
    <row r="674" customHeight="1" spans="1:5">
      <c r="A674" s="40" t="s">
        <v>5</v>
      </c>
      <c r="B674" s="70">
        <v>20090530</v>
      </c>
      <c r="C674" s="83" t="s">
        <v>189</v>
      </c>
      <c r="D674" s="70" t="s">
        <v>7</v>
      </c>
      <c r="E674" s="40">
        <v>1</v>
      </c>
    </row>
    <row r="675" customHeight="1" spans="1:5">
      <c r="A675" s="40" t="s">
        <v>5</v>
      </c>
      <c r="B675" s="70">
        <v>20120389</v>
      </c>
      <c r="C675" s="83" t="s">
        <v>190</v>
      </c>
      <c r="D675" s="70" t="s">
        <v>7</v>
      </c>
      <c r="E675" s="40">
        <v>1</v>
      </c>
    </row>
    <row r="676" customHeight="1" spans="1:5">
      <c r="A676" s="40" t="s">
        <v>5</v>
      </c>
      <c r="B676" s="70">
        <v>20120390</v>
      </c>
      <c r="C676" s="83" t="s">
        <v>190</v>
      </c>
      <c r="D676" s="70" t="s">
        <v>7</v>
      </c>
      <c r="E676" s="40">
        <v>1</v>
      </c>
    </row>
    <row r="677" customHeight="1" spans="1:5">
      <c r="A677" s="40" t="s">
        <v>5</v>
      </c>
      <c r="B677" s="70">
        <v>20120391</v>
      </c>
      <c r="C677" s="83" t="s">
        <v>190</v>
      </c>
      <c r="D677" s="70" t="s">
        <v>7</v>
      </c>
      <c r="E677" s="40">
        <v>1</v>
      </c>
    </row>
    <row r="678" customHeight="1" spans="1:5">
      <c r="A678" s="40" t="s">
        <v>5</v>
      </c>
      <c r="B678" s="70">
        <v>20120392</v>
      </c>
      <c r="C678" s="83" t="s">
        <v>190</v>
      </c>
      <c r="D678" s="70" t="s">
        <v>7</v>
      </c>
      <c r="E678" s="40">
        <v>1</v>
      </c>
    </row>
    <row r="679" customHeight="1" spans="1:5">
      <c r="A679" s="40" t="s">
        <v>5</v>
      </c>
      <c r="B679" s="70">
        <v>20140126</v>
      </c>
      <c r="C679" s="83" t="s">
        <v>6</v>
      </c>
      <c r="D679" s="70" t="s">
        <v>7</v>
      </c>
      <c r="E679" s="40">
        <v>1</v>
      </c>
    </row>
    <row r="680" customHeight="1" spans="1:5">
      <c r="A680" s="40" t="s">
        <v>5</v>
      </c>
      <c r="B680" s="70">
        <v>20140127</v>
      </c>
      <c r="C680" s="83" t="s">
        <v>6</v>
      </c>
      <c r="D680" s="70" t="s">
        <v>7</v>
      </c>
      <c r="E680" s="40">
        <v>1</v>
      </c>
    </row>
    <row r="681" customHeight="1" spans="1:5">
      <c r="A681" s="40" t="s">
        <v>5</v>
      </c>
      <c r="B681" s="70">
        <v>20150202</v>
      </c>
      <c r="C681" s="83" t="s">
        <v>191</v>
      </c>
      <c r="D681" s="70" t="s">
        <v>7</v>
      </c>
      <c r="E681" s="40">
        <v>1</v>
      </c>
    </row>
    <row r="682" customHeight="1" spans="1:5">
      <c r="A682" s="40" t="s">
        <v>5</v>
      </c>
      <c r="B682" s="70">
        <v>20150203</v>
      </c>
      <c r="C682" s="83" t="s">
        <v>191</v>
      </c>
      <c r="D682" s="70" t="s">
        <v>7</v>
      </c>
      <c r="E682" s="40">
        <v>1</v>
      </c>
    </row>
    <row r="683" customHeight="1" spans="1:5">
      <c r="A683" s="40" t="s">
        <v>5</v>
      </c>
      <c r="B683" s="70">
        <v>20161139</v>
      </c>
      <c r="C683" s="83" t="s">
        <v>192</v>
      </c>
      <c r="D683" s="70" t="s">
        <v>7</v>
      </c>
      <c r="E683" s="40">
        <v>1</v>
      </c>
    </row>
    <row r="684" customHeight="1" spans="1:5">
      <c r="A684" s="40" t="s">
        <v>5</v>
      </c>
      <c r="B684" s="70">
        <v>20161140</v>
      </c>
      <c r="C684" s="83" t="s">
        <v>192</v>
      </c>
      <c r="D684" s="70" t="s">
        <v>7</v>
      </c>
      <c r="E684" s="40">
        <v>1</v>
      </c>
    </row>
    <row r="685" customHeight="1" spans="1:5">
      <c r="A685" s="40" t="s">
        <v>5</v>
      </c>
      <c r="B685" s="70">
        <v>20161141</v>
      </c>
      <c r="C685" s="83" t="s">
        <v>193</v>
      </c>
      <c r="D685" s="70" t="s">
        <v>7</v>
      </c>
      <c r="E685" s="40">
        <v>1</v>
      </c>
    </row>
    <row r="686" customHeight="1" spans="1:5">
      <c r="A686" s="40" t="s">
        <v>5</v>
      </c>
      <c r="B686" s="70">
        <v>20161143</v>
      </c>
      <c r="C686" s="83" t="s">
        <v>193</v>
      </c>
      <c r="D686" s="70" t="s">
        <v>7</v>
      </c>
      <c r="E686" s="40">
        <v>1</v>
      </c>
    </row>
    <row r="687" customHeight="1" spans="1:5">
      <c r="A687" s="40" t="s">
        <v>5</v>
      </c>
      <c r="B687" s="70">
        <v>20161144</v>
      </c>
      <c r="C687" s="83" t="s">
        <v>193</v>
      </c>
      <c r="D687" s="70" t="s">
        <v>7</v>
      </c>
      <c r="E687" s="40">
        <v>1</v>
      </c>
    </row>
    <row r="688" customHeight="1" spans="1:5">
      <c r="A688" s="40" t="s">
        <v>5</v>
      </c>
      <c r="B688" s="70">
        <v>20161145</v>
      </c>
      <c r="C688" s="83" t="s">
        <v>194</v>
      </c>
      <c r="D688" s="70" t="s">
        <v>7</v>
      </c>
      <c r="E688" s="40">
        <v>1</v>
      </c>
    </row>
    <row r="689" customHeight="1" spans="1:5">
      <c r="A689" s="40" t="s">
        <v>5</v>
      </c>
      <c r="B689" s="70">
        <v>20161146</v>
      </c>
      <c r="C689" s="83" t="s">
        <v>195</v>
      </c>
      <c r="D689" s="70" t="s">
        <v>7</v>
      </c>
      <c r="E689" s="40">
        <v>1</v>
      </c>
    </row>
    <row r="690" customHeight="1" spans="1:5">
      <c r="A690" s="40" t="s">
        <v>5</v>
      </c>
      <c r="B690" s="70">
        <v>20161147</v>
      </c>
      <c r="C690" s="83" t="s">
        <v>196</v>
      </c>
      <c r="D690" s="70" t="s">
        <v>7</v>
      </c>
      <c r="E690" s="40">
        <v>1</v>
      </c>
    </row>
    <row r="691" customHeight="1" spans="1:5">
      <c r="A691" s="40" t="s">
        <v>5</v>
      </c>
      <c r="B691" s="70">
        <v>20161148</v>
      </c>
      <c r="C691" s="83" t="s">
        <v>196</v>
      </c>
      <c r="D691" s="70" t="s">
        <v>7</v>
      </c>
      <c r="E691" s="40">
        <v>1</v>
      </c>
    </row>
    <row r="692" customHeight="1" spans="1:5">
      <c r="A692" s="40" t="s">
        <v>5</v>
      </c>
      <c r="B692" s="70">
        <v>20161149</v>
      </c>
      <c r="C692" s="83" t="s">
        <v>197</v>
      </c>
      <c r="D692" s="70" t="s">
        <v>7</v>
      </c>
      <c r="E692" s="40">
        <v>1</v>
      </c>
    </row>
    <row r="693" customHeight="1" spans="1:5">
      <c r="A693" s="40" t="s">
        <v>5</v>
      </c>
      <c r="B693" s="70">
        <v>20161150</v>
      </c>
      <c r="C693" s="83" t="s">
        <v>198</v>
      </c>
      <c r="D693" s="70" t="s">
        <v>7</v>
      </c>
      <c r="E693" s="40">
        <v>1</v>
      </c>
    </row>
    <row r="694" customHeight="1" spans="1:5">
      <c r="A694" s="40" t="s">
        <v>5</v>
      </c>
      <c r="B694" s="70">
        <v>20161151</v>
      </c>
      <c r="C694" s="83" t="s">
        <v>199</v>
      </c>
      <c r="D694" s="70" t="s">
        <v>7</v>
      </c>
      <c r="E694" s="40">
        <v>1</v>
      </c>
    </row>
    <row r="695" customHeight="1" spans="1:5">
      <c r="A695" s="40" t="s">
        <v>5</v>
      </c>
      <c r="B695" s="70">
        <v>20161152</v>
      </c>
      <c r="C695" s="83" t="s">
        <v>200</v>
      </c>
      <c r="D695" s="70" t="s">
        <v>7</v>
      </c>
      <c r="E695" s="40">
        <v>1</v>
      </c>
    </row>
    <row r="696" customHeight="1" spans="1:5">
      <c r="A696" s="40" t="s">
        <v>5</v>
      </c>
      <c r="B696" s="70">
        <v>20161153</v>
      </c>
      <c r="C696" s="83" t="s">
        <v>201</v>
      </c>
      <c r="D696" s="70" t="s">
        <v>7</v>
      </c>
      <c r="E696" s="40">
        <v>1</v>
      </c>
    </row>
    <row r="697" customHeight="1" spans="1:5">
      <c r="A697" s="40" t="s">
        <v>5</v>
      </c>
      <c r="B697" s="70">
        <v>20161154</v>
      </c>
      <c r="C697" s="83" t="s">
        <v>202</v>
      </c>
      <c r="D697" s="70" t="s">
        <v>7</v>
      </c>
      <c r="E697" s="40">
        <v>1</v>
      </c>
    </row>
    <row r="698" customHeight="1" spans="1:5">
      <c r="A698" s="40" t="s">
        <v>5</v>
      </c>
      <c r="B698" s="70">
        <v>20161155</v>
      </c>
      <c r="C698" s="83" t="s">
        <v>202</v>
      </c>
      <c r="D698" s="70" t="s">
        <v>7</v>
      </c>
      <c r="E698" s="40">
        <v>1</v>
      </c>
    </row>
    <row r="699" customHeight="1" spans="1:5">
      <c r="A699" s="40" t="s">
        <v>5</v>
      </c>
      <c r="B699" s="70">
        <v>20161156</v>
      </c>
      <c r="C699" s="83" t="s">
        <v>203</v>
      </c>
      <c r="D699" s="70" t="s">
        <v>7</v>
      </c>
      <c r="E699" s="40">
        <v>1</v>
      </c>
    </row>
    <row r="700" customHeight="1" spans="1:5">
      <c r="A700" s="40" t="s">
        <v>5</v>
      </c>
      <c r="B700" s="70">
        <v>20161157</v>
      </c>
      <c r="C700" s="83" t="s">
        <v>203</v>
      </c>
      <c r="D700" s="70" t="s">
        <v>7</v>
      </c>
      <c r="E700" s="40">
        <v>1</v>
      </c>
    </row>
    <row r="701" customHeight="1" spans="1:5">
      <c r="A701" s="40" t="s">
        <v>5</v>
      </c>
      <c r="B701" s="70">
        <v>20161158</v>
      </c>
      <c r="C701" s="83" t="s">
        <v>203</v>
      </c>
      <c r="D701" s="70" t="s">
        <v>7</v>
      </c>
      <c r="E701" s="40">
        <v>1</v>
      </c>
    </row>
    <row r="702" customHeight="1" spans="1:5">
      <c r="A702" s="40" t="s">
        <v>5</v>
      </c>
      <c r="B702" s="70">
        <v>20161159</v>
      </c>
      <c r="C702" s="83" t="s">
        <v>203</v>
      </c>
      <c r="D702" s="70" t="s">
        <v>7</v>
      </c>
      <c r="E702" s="40">
        <v>1</v>
      </c>
    </row>
    <row r="703" customHeight="1" spans="1:5">
      <c r="A703" s="40" t="s">
        <v>5</v>
      </c>
      <c r="B703" s="70">
        <v>20161160</v>
      </c>
      <c r="C703" s="83" t="s">
        <v>203</v>
      </c>
      <c r="D703" s="70" t="s">
        <v>7</v>
      </c>
      <c r="E703" s="40">
        <v>1</v>
      </c>
    </row>
    <row r="704" customHeight="1" spans="1:5">
      <c r="A704" s="40" t="s">
        <v>5</v>
      </c>
      <c r="B704" s="70">
        <v>20161161</v>
      </c>
      <c r="C704" s="83" t="s">
        <v>203</v>
      </c>
      <c r="D704" s="70" t="s">
        <v>7</v>
      </c>
      <c r="E704" s="40">
        <v>1</v>
      </c>
    </row>
    <row r="705" customHeight="1" spans="1:5">
      <c r="A705" s="40" t="s">
        <v>5</v>
      </c>
      <c r="B705" s="70">
        <v>20161164</v>
      </c>
      <c r="C705" s="83" t="s">
        <v>204</v>
      </c>
      <c r="D705" s="70" t="s">
        <v>7</v>
      </c>
      <c r="E705" s="40">
        <v>1</v>
      </c>
    </row>
    <row r="706" customHeight="1" spans="1:5">
      <c r="A706" s="40" t="s">
        <v>5</v>
      </c>
      <c r="B706" s="70">
        <v>20161165</v>
      </c>
      <c r="C706" s="83" t="s">
        <v>204</v>
      </c>
      <c r="D706" s="70" t="s">
        <v>7</v>
      </c>
      <c r="E706" s="40">
        <v>1</v>
      </c>
    </row>
    <row r="707" customHeight="1" spans="1:5">
      <c r="A707" s="40" t="s">
        <v>5</v>
      </c>
      <c r="B707" s="70">
        <v>20161166</v>
      </c>
      <c r="C707" s="83" t="s">
        <v>205</v>
      </c>
      <c r="D707" s="70" t="s">
        <v>7</v>
      </c>
      <c r="E707" s="40">
        <v>1</v>
      </c>
    </row>
    <row r="708" customHeight="1" spans="1:5">
      <c r="A708" s="40" t="s">
        <v>5</v>
      </c>
      <c r="B708" s="70">
        <v>20161167</v>
      </c>
      <c r="C708" s="83" t="s">
        <v>206</v>
      </c>
      <c r="D708" s="70" t="s">
        <v>7</v>
      </c>
      <c r="E708" s="40">
        <v>1</v>
      </c>
    </row>
    <row r="709" customHeight="1" spans="1:5">
      <c r="A709" s="40" t="s">
        <v>5</v>
      </c>
      <c r="B709" s="70">
        <v>20161168</v>
      </c>
      <c r="C709" s="83" t="s">
        <v>207</v>
      </c>
      <c r="D709" s="70" t="s">
        <v>7</v>
      </c>
      <c r="E709" s="40">
        <v>1</v>
      </c>
    </row>
    <row r="710" customHeight="1" spans="1:5">
      <c r="A710" s="40" t="s">
        <v>5</v>
      </c>
      <c r="B710" s="70">
        <v>20161169</v>
      </c>
      <c r="C710" s="83" t="s">
        <v>207</v>
      </c>
      <c r="D710" s="70" t="s">
        <v>7</v>
      </c>
      <c r="E710" s="40">
        <v>1</v>
      </c>
    </row>
    <row r="711" customHeight="1" spans="1:5">
      <c r="A711" s="40" t="s">
        <v>5</v>
      </c>
      <c r="B711" s="70">
        <v>20161170</v>
      </c>
      <c r="C711" s="83" t="s">
        <v>207</v>
      </c>
      <c r="D711" s="70" t="s">
        <v>7</v>
      </c>
      <c r="E711" s="40">
        <v>1</v>
      </c>
    </row>
    <row r="712" customHeight="1" spans="1:5">
      <c r="A712" s="40" t="s">
        <v>5</v>
      </c>
      <c r="B712" s="70">
        <v>20161171</v>
      </c>
      <c r="C712" s="83" t="s">
        <v>207</v>
      </c>
      <c r="D712" s="70" t="s">
        <v>7</v>
      </c>
      <c r="E712" s="40">
        <v>1</v>
      </c>
    </row>
    <row r="713" customHeight="1" spans="1:5">
      <c r="A713" s="40" t="s">
        <v>5</v>
      </c>
      <c r="B713" s="70">
        <v>20161172</v>
      </c>
      <c r="C713" s="83" t="s">
        <v>207</v>
      </c>
      <c r="D713" s="70" t="s">
        <v>7</v>
      </c>
      <c r="E713" s="40">
        <v>1</v>
      </c>
    </row>
    <row r="714" customHeight="1" spans="1:5">
      <c r="A714" s="40" t="s">
        <v>5</v>
      </c>
      <c r="B714" s="70">
        <v>20161173</v>
      </c>
      <c r="C714" s="83" t="s">
        <v>207</v>
      </c>
      <c r="D714" s="70" t="s">
        <v>7</v>
      </c>
      <c r="E714" s="40">
        <v>1</v>
      </c>
    </row>
    <row r="715" customHeight="1" spans="1:5">
      <c r="A715" s="40" t="s">
        <v>5</v>
      </c>
      <c r="B715" s="70">
        <v>20161174</v>
      </c>
      <c r="C715" s="83" t="s">
        <v>207</v>
      </c>
      <c r="D715" s="70" t="s">
        <v>7</v>
      </c>
      <c r="E715" s="40">
        <v>1</v>
      </c>
    </row>
    <row r="716" customHeight="1" spans="1:5">
      <c r="A716" s="40" t="s">
        <v>5</v>
      </c>
      <c r="B716" s="70">
        <v>20161175</v>
      </c>
      <c r="C716" s="83" t="s">
        <v>207</v>
      </c>
      <c r="D716" s="70" t="s">
        <v>7</v>
      </c>
      <c r="E716" s="40">
        <v>1</v>
      </c>
    </row>
    <row r="717" customHeight="1" spans="1:5">
      <c r="A717" s="40" t="s">
        <v>5</v>
      </c>
      <c r="B717" s="70">
        <v>20161176</v>
      </c>
      <c r="C717" s="83" t="s">
        <v>207</v>
      </c>
      <c r="D717" s="70" t="s">
        <v>7</v>
      </c>
      <c r="E717" s="40">
        <v>1</v>
      </c>
    </row>
    <row r="718" customHeight="1" spans="1:5">
      <c r="A718" s="40" t="s">
        <v>5</v>
      </c>
      <c r="B718" s="70">
        <v>20161177</v>
      </c>
      <c r="C718" s="83" t="s">
        <v>207</v>
      </c>
      <c r="D718" s="70" t="s">
        <v>7</v>
      </c>
      <c r="E718" s="40">
        <v>1</v>
      </c>
    </row>
    <row r="719" customHeight="1" spans="1:5">
      <c r="A719" s="40" t="s">
        <v>5</v>
      </c>
      <c r="B719" s="70">
        <v>20161178</v>
      </c>
      <c r="C719" s="83" t="s">
        <v>208</v>
      </c>
      <c r="D719" s="70" t="s">
        <v>7</v>
      </c>
      <c r="E719" s="40">
        <v>1</v>
      </c>
    </row>
    <row r="720" customHeight="1" spans="1:5">
      <c r="A720" s="40" t="s">
        <v>5</v>
      </c>
      <c r="B720" s="70">
        <v>20161179</v>
      </c>
      <c r="C720" s="83" t="s">
        <v>208</v>
      </c>
      <c r="D720" s="70" t="s">
        <v>7</v>
      </c>
      <c r="E720" s="40">
        <v>1</v>
      </c>
    </row>
    <row r="721" customHeight="1" spans="1:5">
      <c r="A721" s="40" t="s">
        <v>5</v>
      </c>
      <c r="B721" s="70">
        <v>20161180</v>
      </c>
      <c r="C721" s="83" t="s">
        <v>208</v>
      </c>
      <c r="D721" s="70" t="s">
        <v>7</v>
      </c>
      <c r="E721" s="40">
        <v>1</v>
      </c>
    </row>
    <row r="722" customHeight="1" spans="1:5">
      <c r="A722" s="40" t="s">
        <v>5</v>
      </c>
      <c r="B722" s="70">
        <v>20161181</v>
      </c>
      <c r="C722" s="83" t="s">
        <v>208</v>
      </c>
      <c r="D722" s="70" t="s">
        <v>7</v>
      </c>
      <c r="E722" s="40">
        <v>1</v>
      </c>
    </row>
    <row r="723" customHeight="1" spans="1:5">
      <c r="A723" s="40" t="s">
        <v>5</v>
      </c>
      <c r="B723" s="70">
        <v>20161182</v>
      </c>
      <c r="C723" s="83" t="s">
        <v>208</v>
      </c>
      <c r="D723" s="70" t="s">
        <v>7</v>
      </c>
      <c r="E723" s="40">
        <v>1</v>
      </c>
    </row>
    <row r="724" customHeight="1" spans="1:5">
      <c r="A724" s="40" t="s">
        <v>5</v>
      </c>
      <c r="B724" s="70">
        <v>20161183</v>
      </c>
      <c r="C724" s="83" t="s">
        <v>208</v>
      </c>
      <c r="D724" s="70" t="s">
        <v>7</v>
      </c>
      <c r="E724" s="40">
        <v>1</v>
      </c>
    </row>
    <row r="725" customHeight="1" spans="1:5">
      <c r="A725" s="40" t="s">
        <v>5</v>
      </c>
      <c r="B725" s="70">
        <v>20161184</v>
      </c>
      <c r="C725" s="83" t="s">
        <v>209</v>
      </c>
      <c r="D725" s="70" t="s">
        <v>7</v>
      </c>
      <c r="E725" s="40">
        <v>1</v>
      </c>
    </row>
    <row r="726" customHeight="1" spans="1:5">
      <c r="A726" s="40" t="s">
        <v>5</v>
      </c>
      <c r="B726" s="70">
        <v>20161185</v>
      </c>
      <c r="C726" s="83" t="s">
        <v>209</v>
      </c>
      <c r="D726" s="70" t="s">
        <v>7</v>
      </c>
      <c r="E726" s="40">
        <v>1</v>
      </c>
    </row>
    <row r="727" customHeight="1" spans="1:5">
      <c r="A727" s="40" t="s">
        <v>5</v>
      </c>
      <c r="B727" s="70">
        <v>20161186</v>
      </c>
      <c r="C727" s="83" t="s">
        <v>209</v>
      </c>
      <c r="D727" s="70" t="s">
        <v>7</v>
      </c>
      <c r="E727" s="40">
        <v>1</v>
      </c>
    </row>
    <row r="728" customHeight="1" spans="1:5">
      <c r="A728" s="40" t="s">
        <v>5</v>
      </c>
      <c r="B728" s="70">
        <v>20161187</v>
      </c>
      <c r="C728" s="83" t="s">
        <v>209</v>
      </c>
      <c r="D728" s="70" t="s">
        <v>7</v>
      </c>
      <c r="E728" s="40">
        <v>1</v>
      </c>
    </row>
    <row r="729" customHeight="1" spans="1:5">
      <c r="A729" s="40" t="s">
        <v>5</v>
      </c>
      <c r="B729" s="70">
        <v>20161188</v>
      </c>
      <c r="C729" s="83" t="s">
        <v>210</v>
      </c>
      <c r="D729" s="70" t="s">
        <v>7</v>
      </c>
      <c r="E729" s="40">
        <v>1</v>
      </c>
    </row>
    <row r="730" customHeight="1" spans="1:5">
      <c r="A730" s="40" t="s">
        <v>5</v>
      </c>
      <c r="B730" s="70">
        <v>20161189</v>
      </c>
      <c r="C730" s="83" t="s">
        <v>211</v>
      </c>
      <c r="D730" s="70" t="s">
        <v>7</v>
      </c>
      <c r="E730" s="40">
        <v>1</v>
      </c>
    </row>
    <row r="731" customHeight="1" spans="1:5">
      <c r="A731" s="40" t="s">
        <v>5</v>
      </c>
      <c r="B731" s="70">
        <v>20161190</v>
      </c>
      <c r="C731" s="83" t="s">
        <v>211</v>
      </c>
      <c r="D731" s="70" t="s">
        <v>7</v>
      </c>
      <c r="E731" s="40">
        <v>1</v>
      </c>
    </row>
    <row r="732" customHeight="1" spans="1:5">
      <c r="A732" s="40" t="s">
        <v>5</v>
      </c>
      <c r="B732" s="70">
        <v>20161193</v>
      </c>
      <c r="C732" s="83" t="s">
        <v>212</v>
      </c>
      <c r="D732" s="70" t="s">
        <v>7</v>
      </c>
      <c r="E732" s="40">
        <v>1</v>
      </c>
    </row>
    <row r="733" customHeight="1" spans="1:5">
      <c r="A733" s="40" t="s">
        <v>5</v>
      </c>
      <c r="B733" s="70">
        <v>20161194</v>
      </c>
      <c r="C733" s="83" t="s">
        <v>212</v>
      </c>
      <c r="D733" s="70" t="s">
        <v>7</v>
      </c>
      <c r="E733" s="40">
        <v>1</v>
      </c>
    </row>
    <row r="734" customHeight="1" spans="1:5">
      <c r="A734" s="40" t="s">
        <v>5</v>
      </c>
      <c r="B734" s="70">
        <v>20161195</v>
      </c>
      <c r="C734" s="83" t="s">
        <v>212</v>
      </c>
      <c r="D734" s="70" t="s">
        <v>7</v>
      </c>
      <c r="E734" s="40">
        <v>1</v>
      </c>
    </row>
    <row r="735" customHeight="1" spans="1:5">
      <c r="A735" s="40" t="s">
        <v>5</v>
      </c>
      <c r="B735" s="70">
        <v>20161196</v>
      </c>
      <c r="C735" s="83" t="s">
        <v>212</v>
      </c>
      <c r="D735" s="70" t="s">
        <v>7</v>
      </c>
      <c r="E735" s="40">
        <v>1</v>
      </c>
    </row>
    <row r="736" customHeight="1" spans="1:5">
      <c r="A736" s="40" t="s">
        <v>5</v>
      </c>
      <c r="B736" s="70">
        <v>20161197</v>
      </c>
      <c r="C736" s="83" t="s">
        <v>212</v>
      </c>
      <c r="D736" s="70" t="s">
        <v>7</v>
      </c>
      <c r="E736" s="40">
        <v>1</v>
      </c>
    </row>
    <row r="737" customHeight="1" spans="1:5">
      <c r="A737" s="40" t="s">
        <v>5</v>
      </c>
      <c r="B737" s="70">
        <v>20161198</v>
      </c>
      <c r="C737" s="83" t="s">
        <v>212</v>
      </c>
      <c r="D737" s="70" t="s">
        <v>7</v>
      </c>
      <c r="E737" s="40">
        <v>1</v>
      </c>
    </row>
    <row r="738" customHeight="1" spans="1:5">
      <c r="A738" s="40" t="s">
        <v>5</v>
      </c>
      <c r="B738" s="70">
        <v>20161199</v>
      </c>
      <c r="C738" s="83" t="s">
        <v>213</v>
      </c>
      <c r="D738" s="70" t="s">
        <v>7</v>
      </c>
      <c r="E738" s="40">
        <v>1</v>
      </c>
    </row>
    <row r="739" customHeight="1" spans="1:5">
      <c r="A739" s="40" t="s">
        <v>5</v>
      </c>
      <c r="B739" s="70">
        <v>20161200</v>
      </c>
      <c r="C739" s="83" t="s">
        <v>213</v>
      </c>
      <c r="D739" s="70" t="s">
        <v>7</v>
      </c>
      <c r="E739" s="40">
        <v>1</v>
      </c>
    </row>
    <row r="740" customHeight="1" spans="1:5">
      <c r="A740" s="40" t="s">
        <v>5</v>
      </c>
      <c r="B740" s="70">
        <v>20161201</v>
      </c>
      <c r="C740" s="83" t="s">
        <v>213</v>
      </c>
      <c r="D740" s="70" t="s">
        <v>7</v>
      </c>
      <c r="E740" s="40">
        <v>1</v>
      </c>
    </row>
    <row r="741" customHeight="1" spans="1:5">
      <c r="A741" s="40" t="s">
        <v>5</v>
      </c>
      <c r="B741" s="70">
        <v>20161202</v>
      </c>
      <c r="C741" s="83" t="s">
        <v>213</v>
      </c>
      <c r="D741" s="70" t="s">
        <v>7</v>
      </c>
      <c r="E741" s="40">
        <v>1</v>
      </c>
    </row>
    <row r="742" customHeight="1" spans="1:5">
      <c r="A742" s="40" t="s">
        <v>5</v>
      </c>
      <c r="B742" s="70">
        <v>20161203</v>
      </c>
      <c r="C742" s="83" t="s">
        <v>213</v>
      </c>
      <c r="D742" s="70" t="s">
        <v>7</v>
      </c>
      <c r="E742" s="40">
        <v>1</v>
      </c>
    </row>
    <row r="743" customHeight="1" spans="1:5">
      <c r="A743" s="40" t="s">
        <v>5</v>
      </c>
      <c r="B743" s="70">
        <v>20161204</v>
      </c>
      <c r="C743" s="83" t="s">
        <v>213</v>
      </c>
      <c r="D743" s="70" t="s">
        <v>7</v>
      </c>
      <c r="E743" s="40">
        <v>1</v>
      </c>
    </row>
    <row r="744" customHeight="1" spans="1:5">
      <c r="A744" s="40" t="s">
        <v>5</v>
      </c>
      <c r="B744" s="70">
        <v>20161205</v>
      </c>
      <c r="C744" s="83" t="s">
        <v>214</v>
      </c>
      <c r="D744" s="70" t="s">
        <v>7</v>
      </c>
      <c r="E744" s="40">
        <v>1</v>
      </c>
    </row>
    <row r="745" customHeight="1" spans="1:5">
      <c r="A745" s="40" t="s">
        <v>5</v>
      </c>
      <c r="B745" s="70">
        <v>20181187</v>
      </c>
      <c r="C745" s="83" t="s">
        <v>6</v>
      </c>
      <c r="D745" s="70" t="s">
        <v>7</v>
      </c>
      <c r="E745" s="40">
        <v>1</v>
      </c>
    </row>
    <row r="746" customHeight="1" spans="1:5">
      <c r="A746" s="40" t="s">
        <v>5</v>
      </c>
      <c r="B746" s="70">
        <v>20181188</v>
      </c>
      <c r="C746" s="83" t="s">
        <v>6</v>
      </c>
      <c r="D746" s="70" t="s">
        <v>7</v>
      </c>
      <c r="E746" s="40">
        <v>1</v>
      </c>
    </row>
    <row r="747" customHeight="1" spans="1:5">
      <c r="A747" s="40" t="s">
        <v>5</v>
      </c>
      <c r="B747" s="70">
        <v>20181189</v>
      </c>
      <c r="C747" s="83" t="s">
        <v>6</v>
      </c>
      <c r="D747" s="70" t="s">
        <v>7</v>
      </c>
      <c r="E747" s="40">
        <v>1</v>
      </c>
    </row>
    <row r="748" customHeight="1" spans="1:5">
      <c r="A748" s="40" t="s">
        <v>5</v>
      </c>
      <c r="B748" s="70">
        <v>20181190</v>
      </c>
      <c r="C748" s="83" t="s">
        <v>6</v>
      </c>
      <c r="D748" s="70" t="s">
        <v>7</v>
      </c>
      <c r="E748" s="40">
        <v>1</v>
      </c>
    </row>
    <row r="749" customHeight="1" spans="1:5">
      <c r="A749" s="40" t="s">
        <v>5</v>
      </c>
      <c r="B749" s="70">
        <v>20181191</v>
      </c>
      <c r="C749" s="83" t="s">
        <v>6</v>
      </c>
      <c r="D749" s="70" t="s">
        <v>7</v>
      </c>
      <c r="E749" s="40">
        <v>1</v>
      </c>
    </row>
    <row r="750" customHeight="1" spans="1:5">
      <c r="A750" s="40" t="s">
        <v>5</v>
      </c>
      <c r="B750" s="70">
        <v>20181192</v>
      </c>
      <c r="C750" s="83" t="s">
        <v>6</v>
      </c>
      <c r="D750" s="70" t="s">
        <v>7</v>
      </c>
      <c r="E750" s="40">
        <v>1</v>
      </c>
    </row>
    <row r="751" customHeight="1" spans="1:5">
      <c r="A751" s="40" t="s">
        <v>5</v>
      </c>
      <c r="B751" s="70">
        <v>20181193</v>
      </c>
      <c r="C751" s="83" t="s">
        <v>6</v>
      </c>
      <c r="D751" s="70" t="s">
        <v>7</v>
      </c>
      <c r="E751" s="40">
        <v>1</v>
      </c>
    </row>
    <row r="752" customHeight="1" spans="1:5">
      <c r="A752" s="40" t="s">
        <v>5</v>
      </c>
      <c r="B752" s="70">
        <v>20181194</v>
      </c>
      <c r="C752" s="83" t="s">
        <v>6</v>
      </c>
      <c r="D752" s="70" t="s">
        <v>7</v>
      </c>
      <c r="E752" s="40">
        <v>1</v>
      </c>
    </row>
    <row r="753" customHeight="1" spans="1:5">
      <c r="A753" s="40" t="s">
        <v>5</v>
      </c>
      <c r="B753" s="70">
        <v>20181199</v>
      </c>
      <c r="C753" s="83" t="s">
        <v>215</v>
      </c>
      <c r="D753" s="70" t="s">
        <v>7</v>
      </c>
      <c r="E753" s="40">
        <v>1</v>
      </c>
    </row>
    <row r="754" customHeight="1" spans="1:5">
      <c r="A754" s="40" t="s">
        <v>5</v>
      </c>
      <c r="B754" s="70">
        <v>20181200</v>
      </c>
      <c r="C754" s="83" t="s">
        <v>215</v>
      </c>
      <c r="D754" s="70" t="s">
        <v>7</v>
      </c>
      <c r="E754" s="40">
        <v>1</v>
      </c>
    </row>
    <row r="755" customHeight="1" spans="1:5">
      <c r="A755" s="40" t="s">
        <v>5</v>
      </c>
      <c r="B755" s="70">
        <v>20181201</v>
      </c>
      <c r="C755" s="83" t="s">
        <v>215</v>
      </c>
      <c r="D755" s="70" t="s">
        <v>7</v>
      </c>
      <c r="E755" s="40">
        <v>1</v>
      </c>
    </row>
    <row r="756" customHeight="1" spans="1:5">
      <c r="A756" s="40" t="s">
        <v>5</v>
      </c>
      <c r="B756" s="70">
        <v>20181202</v>
      </c>
      <c r="C756" s="83" t="s">
        <v>215</v>
      </c>
      <c r="D756" s="70" t="s">
        <v>7</v>
      </c>
      <c r="E756" s="40">
        <v>1</v>
      </c>
    </row>
    <row r="757" customHeight="1" spans="1:5">
      <c r="A757" s="40" t="s">
        <v>5</v>
      </c>
      <c r="B757" s="70">
        <v>20181203</v>
      </c>
      <c r="C757" s="83" t="s">
        <v>215</v>
      </c>
      <c r="D757" s="70" t="s">
        <v>7</v>
      </c>
      <c r="E757" s="40">
        <v>1</v>
      </c>
    </row>
    <row r="758" customHeight="1" spans="1:5">
      <c r="A758" s="40" t="s">
        <v>5</v>
      </c>
      <c r="B758" s="70">
        <v>20181204</v>
      </c>
      <c r="C758" s="83" t="s">
        <v>215</v>
      </c>
      <c r="D758" s="70" t="s">
        <v>7</v>
      </c>
      <c r="E758" s="40">
        <v>1</v>
      </c>
    </row>
    <row r="759" customHeight="1" spans="1:5">
      <c r="A759" s="40" t="s">
        <v>5</v>
      </c>
      <c r="B759" s="70">
        <v>20181205</v>
      </c>
      <c r="C759" s="83" t="s">
        <v>215</v>
      </c>
      <c r="D759" s="70" t="s">
        <v>7</v>
      </c>
      <c r="E759" s="40">
        <v>1</v>
      </c>
    </row>
    <row r="760" customHeight="1" spans="1:5">
      <c r="A760" s="40" t="s">
        <v>5</v>
      </c>
      <c r="B760" s="70">
        <v>20181206</v>
      </c>
      <c r="C760" s="83" t="s">
        <v>215</v>
      </c>
      <c r="D760" s="70" t="s">
        <v>7</v>
      </c>
      <c r="E760" s="40">
        <v>1</v>
      </c>
    </row>
    <row r="761" customHeight="1" spans="1:5">
      <c r="A761" s="40" t="s">
        <v>5</v>
      </c>
      <c r="B761" s="70">
        <v>20181207</v>
      </c>
      <c r="C761" s="83" t="s">
        <v>216</v>
      </c>
      <c r="D761" s="70" t="s">
        <v>7</v>
      </c>
      <c r="E761" s="40">
        <v>1</v>
      </c>
    </row>
    <row r="762" customHeight="1" spans="1:5">
      <c r="A762" s="40" t="s">
        <v>5</v>
      </c>
      <c r="B762" s="70">
        <v>20181208</v>
      </c>
      <c r="C762" s="83" t="s">
        <v>216</v>
      </c>
      <c r="D762" s="70" t="s">
        <v>7</v>
      </c>
      <c r="E762" s="40">
        <v>1</v>
      </c>
    </row>
    <row r="763" customHeight="1" spans="1:5">
      <c r="A763" s="40" t="s">
        <v>5</v>
      </c>
      <c r="B763" s="70">
        <v>20181209</v>
      </c>
      <c r="C763" s="83" t="s">
        <v>217</v>
      </c>
      <c r="D763" s="70" t="s">
        <v>7</v>
      </c>
      <c r="E763" s="40">
        <v>1</v>
      </c>
    </row>
    <row r="764" customHeight="1" spans="1:5">
      <c r="A764" s="40" t="s">
        <v>5</v>
      </c>
      <c r="B764" s="70">
        <v>20181210</v>
      </c>
      <c r="C764" s="83" t="s">
        <v>217</v>
      </c>
      <c r="D764" s="70" t="s">
        <v>7</v>
      </c>
      <c r="E764" s="40">
        <v>1</v>
      </c>
    </row>
    <row r="765" customHeight="1" spans="1:5">
      <c r="A765" s="40" t="s">
        <v>5</v>
      </c>
      <c r="B765" s="70" t="str">
        <f>TEXT("20231048",REPT(0,8))</f>
        <v>20231048</v>
      </c>
      <c r="C765" s="83" t="s">
        <v>218</v>
      </c>
      <c r="D765" s="70" t="s">
        <v>7</v>
      </c>
      <c r="E765" s="40">
        <v>1</v>
      </c>
    </row>
    <row r="766" customHeight="1" spans="1:5">
      <c r="A766" s="40" t="s">
        <v>5</v>
      </c>
      <c r="B766" s="70" t="str">
        <f>TEXT("20231049",REPT(0,8))</f>
        <v>20231049</v>
      </c>
      <c r="C766" s="83" t="s">
        <v>219</v>
      </c>
      <c r="D766" s="70" t="s">
        <v>7</v>
      </c>
      <c r="E766" s="40">
        <v>1</v>
      </c>
    </row>
    <row r="767" customHeight="1" spans="1:5">
      <c r="A767" s="40" t="s">
        <v>5</v>
      </c>
      <c r="B767" s="70" t="str">
        <f>TEXT("20231050",REPT(0,8))</f>
        <v>20231050</v>
      </c>
      <c r="C767" s="83" t="s">
        <v>220</v>
      </c>
      <c r="D767" s="70" t="s">
        <v>7</v>
      </c>
      <c r="E767" s="40">
        <v>1</v>
      </c>
    </row>
    <row r="768" customHeight="1" spans="1:5">
      <c r="A768" s="40" t="s">
        <v>5</v>
      </c>
      <c r="B768" s="70" t="str">
        <f>TEXT("20231051",REPT(0,8))</f>
        <v>20231051</v>
      </c>
      <c r="C768" s="83" t="s">
        <v>221</v>
      </c>
      <c r="D768" s="70" t="s">
        <v>7</v>
      </c>
      <c r="E768" s="40">
        <v>1</v>
      </c>
    </row>
    <row r="769" customHeight="1" spans="1:5">
      <c r="A769" s="40" t="s">
        <v>5</v>
      </c>
      <c r="B769" s="70" t="str">
        <f>TEXT("20201282",REPT(0,8))</f>
        <v>20201282</v>
      </c>
      <c r="C769" s="83" t="s">
        <v>222</v>
      </c>
      <c r="D769" s="70" t="s">
        <v>7</v>
      </c>
      <c r="E769" s="40">
        <v>1</v>
      </c>
    </row>
    <row r="770" customHeight="1" spans="1:5">
      <c r="A770" s="40" t="s">
        <v>5</v>
      </c>
      <c r="B770" s="73" t="str">
        <f>TEXT("20230332",REPT(0,8))</f>
        <v>20230332</v>
      </c>
      <c r="C770" s="83" t="s">
        <v>223</v>
      </c>
      <c r="D770" s="70" t="s">
        <v>7</v>
      </c>
      <c r="E770" s="40">
        <v>1</v>
      </c>
    </row>
    <row r="771" customHeight="1" spans="1:5">
      <c r="A771" s="40" t="s">
        <v>5</v>
      </c>
      <c r="B771" s="73" t="str">
        <f>TEXT("20230333",REPT(0,8))</f>
        <v>20230333</v>
      </c>
      <c r="C771" s="83" t="s">
        <v>224</v>
      </c>
      <c r="D771" s="70" t="s">
        <v>7</v>
      </c>
      <c r="E771" s="40">
        <v>1</v>
      </c>
    </row>
    <row r="772" customHeight="1" spans="1:5">
      <c r="A772" s="40" t="s">
        <v>5</v>
      </c>
      <c r="B772" s="73" t="str">
        <f>TEXT("20230334",REPT(0,8))</f>
        <v>20230334</v>
      </c>
      <c r="C772" s="83" t="s">
        <v>224</v>
      </c>
      <c r="D772" s="70" t="s">
        <v>7</v>
      </c>
      <c r="E772" s="40">
        <v>1</v>
      </c>
    </row>
    <row r="773" customHeight="1" spans="1:5">
      <c r="A773" s="40" t="s">
        <v>5</v>
      </c>
      <c r="B773" s="73" t="str">
        <f>TEXT("20230335",REPT(0,8))</f>
        <v>20230335</v>
      </c>
      <c r="C773" s="83" t="s">
        <v>224</v>
      </c>
      <c r="D773" s="70" t="s">
        <v>7</v>
      </c>
      <c r="E773" s="40">
        <v>1</v>
      </c>
    </row>
    <row r="774" customHeight="1" spans="1:5">
      <c r="A774" s="40" t="s">
        <v>5</v>
      </c>
      <c r="B774" s="73" t="str">
        <f>TEXT("20230336",REPT(0,8))</f>
        <v>20230336</v>
      </c>
      <c r="C774" s="83" t="s">
        <v>224</v>
      </c>
      <c r="D774" s="70" t="s">
        <v>7</v>
      </c>
      <c r="E774" s="40">
        <v>1</v>
      </c>
    </row>
    <row r="775" customHeight="1" spans="1:5">
      <c r="A775" s="40" t="s">
        <v>5</v>
      </c>
      <c r="B775" s="73" t="str">
        <f>TEXT("20230337",REPT(0,8))</f>
        <v>20230337</v>
      </c>
      <c r="C775" s="83" t="s">
        <v>224</v>
      </c>
      <c r="D775" s="70" t="s">
        <v>7</v>
      </c>
      <c r="E775" s="40">
        <v>1</v>
      </c>
    </row>
    <row r="776" customHeight="1" spans="1:5">
      <c r="A776" s="40" t="s">
        <v>5</v>
      </c>
      <c r="B776" s="73" t="str">
        <f>TEXT("20230338",REPT(0,8))</f>
        <v>20230338</v>
      </c>
      <c r="C776" s="83" t="s">
        <v>224</v>
      </c>
      <c r="D776" s="70" t="s">
        <v>7</v>
      </c>
      <c r="E776" s="40">
        <v>1</v>
      </c>
    </row>
    <row r="777" customHeight="1" spans="1:5">
      <c r="A777" s="40" t="s">
        <v>5</v>
      </c>
      <c r="B777" s="73" t="str">
        <f>TEXT("20230339",REPT(0,8))</f>
        <v>20230339</v>
      </c>
      <c r="C777" s="83" t="s">
        <v>224</v>
      </c>
      <c r="D777" s="70" t="s">
        <v>7</v>
      </c>
      <c r="E777" s="40">
        <v>1</v>
      </c>
    </row>
    <row r="778" customHeight="1" spans="1:5">
      <c r="A778" s="40" t="s">
        <v>5</v>
      </c>
      <c r="B778" s="73" t="str">
        <f>TEXT("20230340",REPT(0,8))</f>
        <v>20230340</v>
      </c>
      <c r="C778" s="83" t="s">
        <v>224</v>
      </c>
      <c r="D778" s="70" t="s">
        <v>7</v>
      </c>
      <c r="E778" s="40">
        <v>1</v>
      </c>
    </row>
    <row r="779" customHeight="1" spans="1:5">
      <c r="A779" s="40" t="s">
        <v>5</v>
      </c>
      <c r="B779" s="73" t="str">
        <f>TEXT("20230341",REPT(0,8))</f>
        <v>20230341</v>
      </c>
      <c r="C779" s="83" t="s">
        <v>224</v>
      </c>
      <c r="D779" s="70" t="s">
        <v>7</v>
      </c>
      <c r="E779" s="40">
        <v>1</v>
      </c>
    </row>
    <row r="780" customHeight="1" spans="1:5">
      <c r="A780" s="40" t="s">
        <v>5</v>
      </c>
      <c r="B780" s="73" t="str">
        <f>TEXT("20230342",REPT(0,8))</f>
        <v>20230342</v>
      </c>
      <c r="C780" s="83" t="s">
        <v>224</v>
      </c>
      <c r="D780" s="70" t="s">
        <v>7</v>
      </c>
      <c r="E780" s="40">
        <v>1</v>
      </c>
    </row>
    <row r="781" customHeight="1" spans="1:5">
      <c r="A781" s="40" t="s">
        <v>5</v>
      </c>
      <c r="B781" s="73" t="str">
        <f>TEXT("20230343",REPT(0,8))</f>
        <v>20230343</v>
      </c>
      <c r="C781" s="83" t="s">
        <v>220</v>
      </c>
      <c r="D781" s="70" t="s">
        <v>7</v>
      </c>
      <c r="E781" s="40">
        <v>1</v>
      </c>
    </row>
    <row r="782" customHeight="1" spans="1:5">
      <c r="A782" s="40" t="s">
        <v>5</v>
      </c>
      <c r="B782" s="73" t="str">
        <f>TEXT("20230344",REPT(0,8))</f>
        <v>20230344</v>
      </c>
      <c r="C782" s="83" t="s">
        <v>225</v>
      </c>
      <c r="D782" s="70" t="s">
        <v>7</v>
      </c>
      <c r="E782" s="40">
        <v>1</v>
      </c>
    </row>
    <row r="783" customHeight="1" spans="1:5">
      <c r="A783" s="40" t="s">
        <v>5</v>
      </c>
      <c r="B783" s="73" t="str">
        <f>TEXT("20230345",REPT(0,8))</f>
        <v>20230345</v>
      </c>
      <c r="C783" s="83" t="s">
        <v>226</v>
      </c>
      <c r="D783" s="70" t="s">
        <v>7</v>
      </c>
      <c r="E783" s="40">
        <v>1</v>
      </c>
    </row>
    <row r="784" customHeight="1" spans="1:5">
      <c r="A784" s="40" t="s">
        <v>5</v>
      </c>
      <c r="B784" s="70" t="str">
        <f>TEXT("20230192",REPT(0,8))</f>
        <v>20230192</v>
      </c>
      <c r="C784" s="83" t="s">
        <v>227</v>
      </c>
      <c r="D784" s="70" t="s">
        <v>7</v>
      </c>
      <c r="E784" s="40">
        <v>1</v>
      </c>
    </row>
    <row r="785" customHeight="1" spans="1:5">
      <c r="A785" s="40" t="s">
        <v>5</v>
      </c>
      <c r="B785" s="70" t="str">
        <f>TEXT("20230193",REPT(0,8))</f>
        <v>20230193</v>
      </c>
      <c r="C785" s="83" t="s">
        <v>228</v>
      </c>
      <c r="D785" s="70" t="s">
        <v>7</v>
      </c>
      <c r="E785" s="40">
        <v>1</v>
      </c>
    </row>
    <row r="786" customHeight="1" spans="1:5">
      <c r="A786" s="40" t="s">
        <v>5</v>
      </c>
      <c r="B786" s="73" t="str">
        <f>TEXT("20170834",REPT(0,8))</f>
        <v>20170834</v>
      </c>
      <c r="C786" s="83" t="s">
        <v>229</v>
      </c>
      <c r="D786" s="70" t="s">
        <v>34</v>
      </c>
      <c r="E786" s="40">
        <v>1</v>
      </c>
    </row>
    <row r="787" customHeight="1" spans="1:5">
      <c r="A787" s="40" t="s">
        <v>5</v>
      </c>
      <c r="B787" s="73" t="str">
        <f>TEXT("20220341",REPT(0,8))</f>
        <v>20220341</v>
      </c>
      <c r="C787" s="83" t="s">
        <v>230</v>
      </c>
      <c r="D787" s="70" t="s">
        <v>34</v>
      </c>
      <c r="E787" s="40">
        <v>1</v>
      </c>
    </row>
    <row r="788" customHeight="1" spans="1:5">
      <c r="A788" s="40" t="s">
        <v>5</v>
      </c>
      <c r="B788" s="70">
        <v>20201047</v>
      </c>
      <c r="C788" s="83" t="s">
        <v>231</v>
      </c>
      <c r="D788" s="70" t="s">
        <v>7</v>
      </c>
      <c r="E788" s="40">
        <v>1</v>
      </c>
    </row>
    <row r="789" customHeight="1" spans="1:5">
      <c r="A789" s="40" t="s">
        <v>5</v>
      </c>
      <c r="B789" s="70">
        <v>20201055</v>
      </c>
      <c r="C789" s="83" t="s">
        <v>120</v>
      </c>
      <c r="D789" s="70" t="s">
        <v>7</v>
      </c>
      <c r="E789" s="40">
        <v>1</v>
      </c>
    </row>
    <row r="790" customHeight="1" spans="1:5">
      <c r="A790" s="40" t="s">
        <v>5</v>
      </c>
      <c r="B790" s="70">
        <v>20230372</v>
      </c>
      <c r="C790" s="83" t="s">
        <v>232</v>
      </c>
      <c r="D790" s="70" t="s">
        <v>7</v>
      </c>
      <c r="E790" s="40">
        <v>1</v>
      </c>
    </row>
    <row r="791" customHeight="1" spans="1:5">
      <c r="A791" s="40" t="s">
        <v>5</v>
      </c>
      <c r="B791" s="70">
        <v>20230519</v>
      </c>
      <c r="C791" s="83" t="s">
        <v>233</v>
      </c>
      <c r="D791" s="70" t="s">
        <v>7</v>
      </c>
      <c r="E791" s="40">
        <v>1</v>
      </c>
    </row>
    <row r="792" customHeight="1" spans="1:5">
      <c r="A792" s="40" t="s">
        <v>5</v>
      </c>
      <c r="B792" s="70">
        <v>20240043</v>
      </c>
      <c r="C792" s="83" t="s">
        <v>177</v>
      </c>
      <c r="D792" s="70" t="s">
        <v>7</v>
      </c>
      <c r="E792" s="40">
        <v>1</v>
      </c>
    </row>
    <row r="793" customHeight="1" spans="1:5">
      <c r="A793" s="40" t="s">
        <v>5</v>
      </c>
      <c r="B793" s="70">
        <v>20240044</v>
      </c>
      <c r="C793" s="83" t="s">
        <v>103</v>
      </c>
      <c r="D793" s="70" t="s">
        <v>7</v>
      </c>
      <c r="E793" s="40">
        <v>1</v>
      </c>
    </row>
    <row r="794" customHeight="1" spans="1:5">
      <c r="A794" s="40" t="s">
        <v>5</v>
      </c>
      <c r="B794" s="40">
        <v>1</v>
      </c>
      <c r="C794" s="48" t="s">
        <v>234</v>
      </c>
      <c r="D794" s="70" t="s">
        <v>7</v>
      </c>
      <c r="E794" s="40">
        <v>1</v>
      </c>
    </row>
    <row r="795" customHeight="1" spans="1:5">
      <c r="A795" s="40" t="s">
        <v>5</v>
      </c>
      <c r="B795" s="40">
        <v>2</v>
      </c>
      <c r="C795" s="48" t="s">
        <v>234</v>
      </c>
      <c r="D795" s="70" t="s">
        <v>7</v>
      </c>
      <c r="E795" s="40">
        <v>1</v>
      </c>
    </row>
    <row r="796" customHeight="1" spans="1:5">
      <c r="A796" s="40" t="s">
        <v>5</v>
      </c>
      <c r="B796" s="40">
        <v>3</v>
      </c>
      <c r="C796" s="48" t="s">
        <v>234</v>
      </c>
      <c r="D796" s="70" t="s">
        <v>7</v>
      </c>
      <c r="E796" s="40">
        <v>1</v>
      </c>
    </row>
    <row r="797" customHeight="1" spans="1:5">
      <c r="A797" s="40" t="s">
        <v>5</v>
      </c>
      <c r="B797" s="40">
        <v>4</v>
      </c>
      <c r="C797" s="48" t="s">
        <v>234</v>
      </c>
      <c r="D797" s="70" t="s">
        <v>7</v>
      </c>
      <c r="E797" s="40">
        <v>1</v>
      </c>
    </row>
    <row r="798" customHeight="1" spans="1:5">
      <c r="A798" s="40" t="s">
        <v>5</v>
      </c>
      <c r="B798" s="40">
        <v>5</v>
      </c>
      <c r="C798" s="48" t="s">
        <v>234</v>
      </c>
      <c r="D798" s="70" t="s">
        <v>7</v>
      </c>
      <c r="E798" s="40">
        <v>1</v>
      </c>
    </row>
    <row r="799" customHeight="1" spans="1:5">
      <c r="A799" s="40" t="s">
        <v>5</v>
      </c>
      <c r="B799" s="40">
        <v>6</v>
      </c>
      <c r="C799" s="48" t="s">
        <v>234</v>
      </c>
      <c r="D799" s="70" t="s">
        <v>7</v>
      </c>
      <c r="E799" s="40">
        <v>1</v>
      </c>
    </row>
    <row r="800" customHeight="1" spans="1:5">
      <c r="A800" s="40" t="s">
        <v>5</v>
      </c>
      <c r="B800" s="40">
        <v>7</v>
      </c>
      <c r="C800" s="48" t="s">
        <v>234</v>
      </c>
      <c r="D800" s="70" t="s">
        <v>7</v>
      </c>
      <c r="E800" s="40">
        <v>1</v>
      </c>
    </row>
    <row r="801" customHeight="1" spans="1:5">
      <c r="A801" s="40" t="s">
        <v>5</v>
      </c>
      <c r="B801" s="40">
        <v>8</v>
      </c>
      <c r="C801" s="48" t="s">
        <v>234</v>
      </c>
      <c r="D801" s="70" t="s">
        <v>7</v>
      </c>
      <c r="E801" s="40">
        <v>1</v>
      </c>
    </row>
    <row r="802" customHeight="1" spans="1:5">
      <c r="A802" s="40" t="s">
        <v>5</v>
      </c>
      <c r="B802" s="40">
        <v>9</v>
      </c>
      <c r="C802" s="48" t="s">
        <v>234</v>
      </c>
      <c r="D802" s="70" t="s">
        <v>7</v>
      </c>
      <c r="E802" s="40">
        <v>1</v>
      </c>
    </row>
    <row r="803" customHeight="1" spans="1:5">
      <c r="A803" s="40" t="s">
        <v>5</v>
      </c>
      <c r="B803" s="40">
        <v>10</v>
      </c>
      <c r="C803" s="48" t="s">
        <v>234</v>
      </c>
      <c r="D803" s="70" t="s">
        <v>7</v>
      </c>
      <c r="E803" s="40">
        <v>1</v>
      </c>
    </row>
    <row r="804" customHeight="1" spans="1:5">
      <c r="A804" s="40" t="s">
        <v>5</v>
      </c>
      <c r="B804" s="40">
        <v>11</v>
      </c>
      <c r="C804" s="48" t="s">
        <v>234</v>
      </c>
      <c r="D804" s="70" t="s">
        <v>7</v>
      </c>
      <c r="E804" s="40">
        <v>1</v>
      </c>
    </row>
    <row r="805" customHeight="1" spans="1:5">
      <c r="A805" s="40" t="s">
        <v>5</v>
      </c>
      <c r="B805" s="40">
        <v>12</v>
      </c>
      <c r="C805" s="48" t="s">
        <v>234</v>
      </c>
      <c r="D805" s="70" t="s">
        <v>7</v>
      </c>
      <c r="E805" s="40">
        <v>1</v>
      </c>
    </row>
    <row r="806" customHeight="1" spans="1:5">
      <c r="A806" s="40" t="s">
        <v>5</v>
      </c>
      <c r="B806" s="40">
        <v>13</v>
      </c>
      <c r="C806" s="48" t="s">
        <v>234</v>
      </c>
      <c r="D806" s="70" t="s">
        <v>7</v>
      </c>
      <c r="E806" s="40">
        <v>1</v>
      </c>
    </row>
    <row r="807" customHeight="1" spans="1:5">
      <c r="A807" s="40" t="s">
        <v>5</v>
      </c>
      <c r="B807" s="40">
        <v>14</v>
      </c>
      <c r="C807" s="48" t="s">
        <v>234</v>
      </c>
      <c r="D807" s="70" t="s">
        <v>7</v>
      </c>
      <c r="E807" s="40">
        <v>1</v>
      </c>
    </row>
    <row r="808" customHeight="1" spans="1:5">
      <c r="A808" s="40" t="s">
        <v>5</v>
      </c>
      <c r="B808" s="40">
        <v>15</v>
      </c>
      <c r="C808" s="48" t="s">
        <v>234</v>
      </c>
      <c r="D808" s="70" t="s">
        <v>7</v>
      </c>
      <c r="E808" s="40">
        <v>1</v>
      </c>
    </row>
    <row r="809" customHeight="1" spans="1:5">
      <c r="A809" s="40" t="s">
        <v>5</v>
      </c>
      <c r="B809" s="40">
        <v>16</v>
      </c>
      <c r="C809" s="48" t="s">
        <v>234</v>
      </c>
      <c r="D809" s="70" t="s">
        <v>7</v>
      </c>
      <c r="E809" s="40">
        <v>1</v>
      </c>
    </row>
    <row r="810" customHeight="1" spans="1:5">
      <c r="A810" s="40" t="s">
        <v>5</v>
      </c>
      <c r="B810" s="40">
        <v>17</v>
      </c>
      <c r="C810" s="48" t="s">
        <v>234</v>
      </c>
      <c r="D810" s="70" t="s">
        <v>7</v>
      </c>
      <c r="E810" s="40">
        <v>1</v>
      </c>
    </row>
    <row r="811" customHeight="1" spans="1:5">
      <c r="A811" s="40" t="s">
        <v>5</v>
      </c>
      <c r="B811" s="40">
        <v>18</v>
      </c>
      <c r="C811" s="48" t="s">
        <v>234</v>
      </c>
      <c r="D811" s="70" t="s">
        <v>7</v>
      </c>
      <c r="E811" s="40">
        <v>1</v>
      </c>
    </row>
    <row r="812" customHeight="1" spans="1:5">
      <c r="A812" s="40" t="s">
        <v>5</v>
      </c>
      <c r="B812" s="40">
        <v>19</v>
      </c>
      <c r="C812" s="48" t="s">
        <v>234</v>
      </c>
      <c r="D812" s="70" t="s">
        <v>7</v>
      </c>
      <c r="E812" s="40">
        <v>1</v>
      </c>
    </row>
    <row r="813" customHeight="1" spans="1:5">
      <c r="A813" s="40" t="s">
        <v>5</v>
      </c>
      <c r="B813" s="40">
        <v>20</v>
      </c>
      <c r="C813" s="48" t="s">
        <v>234</v>
      </c>
      <c r="D813" s="70" t="s">
        <v>7</v>
      </c>
      <c r="E813" s="40">
        <v>1</v>
      </c>
    </row>
    <row r="814" customHeight="1" spans="1:5">
      <c r="A814" s="40" t="s">
        <v>5</v>
      </c>
      <c r="B814" s="40">
        <v>21</v>
      </c>
      <c r="C814" s="48" t="s">
        <v>234</v>
      </c>
      <c r="D814" s="70" t="s">
        <v>7</v>
      </c>
      <c r="E814" s="40">
        <v>1</v>
      </c>
    </row>
    <row r="815" customHeight="1" spans="1:5">
      <c r="A815" s="40" t="s">
        <v>5</v>
      </c>
      <c r="B815" s="40">
        <v>22</v>
      </c>
      <c r="C815" s="48" t="s">
        <v>234</v>
      </c>
      <c r="D815" s="70" t="s">
        <v>7</v>
      </c>
      <c r="E815" s="40">
        <v>1</v>
      </c>
    </row>
    <row r="816" customHeight="1" spans="1:5">
      <c r="A816" s="40" t="s">
        <v>5</v>
      </c>
      <c r="B816" s="40">
        <v>23</v>
      </c>
      <c r="C816" s="48" t="s">
        <v>234</v>
      </c>
      <c r="D816" s="70" t="s">
        <v>7</v>
      </c>
      <c r="E816" s="40">
        <v>1</v>
      </c>
    </row>
    <row r="817" customHeight="1" spans="1:5">
      <c r="A817" s="40" t="s">
        <v>5</v>
      </c>
      <c r="B817" s="40">
        <v>24</v>
      </c>
      <c r="C817" s="48" t="s">
        <v>235</v>
      </c>
      <c r="D817" s="48" t="s">
        <v>236</v>
      </c>
      <c r="E817" s="40">
        <v>1</v>
      </c>
    </row>
    <row r="818" customHeight="1" spans="2:4">
      <c r="B818"/>
      <c r="C818"/>
      <c r="D818"/>
    </row>
    <row r="819" customHeight="1" spans="2:4">
      <c r="B819"/>
      <c r="C819"/>
      <c r="D819"/>
    </row>
    <row r="820" customHeight="1" spans="2:4">
      <c r="B820"/>
      <c r="C820"/>
      <c r="D820"/>
    </row>
    <row r="821" customHeight="1" spans="2:4">
      <c r="B821"/>
      <c r="C821"/>
      <c r="D821"/>
    </row>
    <row r="822" customHeight="1" spans="2:4">
      <c r="B822"/>
      <c r="C822"/>
      <c r="D822"/>
    </row>
    <row r="823" customHeight="1" spans="2:4">
      <c r="B823"/>
      <c r="C823"/>
      <c r="D823"/>
    </row>
    <row r="824" customHeight="1" spans="2:4">
      <c r="B824"/>
      <c r="C824"/>
      <c r="D824"/>
    </row>
    <row r="825" customHeight="1" spans="2:4">
      <c r="B825"/>
      <c r="C825"/>
      <c r="D825"/>
    </row>
    <row r="826" customHeight="1" spans="2:4">
      <c r="B826"/>
      <c r="C826"/>
      <c r="D826"/>
    </row>
    <row r="827" customHeight="1" spans="2:4">
      <c r="B827"/>
      <c r="C827"/>
      <c r="D827"/>
    </row>
    <row r="828" customHeight="1" spans="2:4">
      <c r="B828"/>
      <c r="C828"/>
      <c r="D828"/>
    </row>
    <row r="829" customHeight="1" spans="2:4">
      <c r="B829"/>
      <c r="C829"/>
      <c r="D829"/>
    </row>
    <row r="830" customHeight="1" spans="2:4">
      <c r="B830"/>
      <c r="C830"/>
      <c r="D830"/>
    </row>
    <row r="831" customHeight="1" spans="2:4">
      <c r="B831"/>
      <c r="C831"/>
      <c r="D831"/>
    </row>
    <row r="832" customHeight="1" spans="2:4">
      <c r="B832"/>
      <c r="C832"/>
      <c r="D832"/>
    </row>
    <row r="833" customHeight="1" spans="2:4">
      <c r="B833"/>
      <c r="C833"/>
      <c r="D833"/>
    </row>
    <row r="834" customHeight="1" spans="2:4">
      <c r="B834"/>
      <c r="C834"/>
      <c r="D834"/>
    </row>
    <row r="835" customHeight="1" spans="2:4">
      <c r="B835"/>
      <c r="C835"/>
      <c r="D835"/>
    </row>
    <row r="836" customHeight="1" spans="2:4">
      <c r="B836"/>
      <c r="C836"/>
      <c r="D836"/>
    </row>
    <row r="837" customHeight="1" spans="2:4">
      <c r="B837"/>
      <c r="C837"/>
      <c r="D837"/>
    </row>
    <row r="838" customHeight="1" spans="2:4">
      <c r="B838"/>
      <c r="C838"/>
      <c r="D838"/>
    </row>
    <row r="839" customHeight="1" spans="2:4">
      <c r="B839"/>
      <c r="C839"/>
      <c r="D839"/>
    </row>
    <row r="840" customHeight="1" spans="2:4">
      <c r="B840"/>
      <c r="C840"/>
      <c r="D840"/>
    </row>
    <row r="841" customHeight="1" spans="2:4">
      <c r="B841"/>
      <c r="C841"/>
      <c r="D841"/>
    </row>
    <row r="842" customHeight="1" spans="2:4">
      <c r="B842"/>
      <c r="C842"/>
      <c r="D842"/>
    </row>
    <row r="843" customHeight="1" spans="2:4">
      <c r="B843"/>
      <c r="C843"/>
      <c r="D843"/>
    </row>
    <row r="844" customHeight="1" spans="2:4">
      <c r="B844"/>
      <c r="C844"/>
      <c r="D844"/>
    </row>
    <row r="845" customHeight="1" spans="2:4">
      <c r="B845"/>
      <c r="C845"/>
      <c r="D845"/>
    </row>
    <row r="846" customHeight="1" spans="2:4">
      <c r="B846"/>
      <c r="C846"/>
      <c r="D846"/>
    </row>
    <row r="847" customHeight="1" spans="2:4">
      <c r="B847"/>
      <c r="C847"/>
      <c r="D847"/>
    </row>
    <row r="848" customHeight="1" spans="2:4">
      <c r="B848"/>
      <c r="C848"/>
      <c r="D848"/>
    </row>
    <row r="849" customHeight="1" spans="2:4">
      <c r="B849"/>
      <c r="C849"/>
      <c r="D849"/>
    </row>
    <row r="850" customHeight="1" spans="2:4">
      <c r="B850"/>
      <c r="C850"/>
      <c r="D850"/>
    </row>
    <row r="851" customHeight="1" spans="2:4">
      <c r="B851"/>
      <c r="C851"/>
      <c r="D851"/>
    </row>
    <row r="852" customHeight="1" spans="2:4">
      <c r="B852"/>
      <c r="C852"/>
      <c r="D852"/>
    </row>
    <row r="853" customHeight="1" spans="2:4">
      <c r="B853"/>
      <c r="C853"/>
      <c r="D853"/>
    </row>
    <row r="854" customHeight="1" spans="2:4">
      <c r="B854"/>
      <c r="C854"/>
      <c r="D854"/>
    </row>
    <row r="855" customHeight="1" spans="2:4">
      <c r="B855"/>
      <c r="C855"/>
      <c r="D855"/>
    </row>
    <row r="856" customHeight="1" spans="2:4">
      <c r="B856"/>
      <c r="C856"/>
      <c r="D856"/>
    </row>
    <row r="857" customHeight="1" spans="2:4">
      <c r="B857"/>
      <c r="C857"/>
      <c r="D857"/>
    </row>
    <row r="858" customHeight="1" spans="2:4">
      <c r="B858"/>
      <c r="C858"/>
      <c r="D858"/>
    </row>
    <row r="859" customHeight="1" spans="2:4">
      <c r="B859"/>
      <c r="C859"/>
      <c r="D859"/>
    </row>
    <row r="860" customHeight="1" spans="2:4">
      <c r="B860"/>
      <c r="C860"/>
      <c r="D860"/>
    </row>
    <row r="861" customHeight="1" spans="2:4">
      <c r="B861"/>
      <c r="C861"/>
      <c r="D861"/>
    </row>
    <row r="862" customHeight="1" spans="2:4">
      <c r="B862"/>
      <c r="C862"/>
      <c r="D862"/>
    </row>
    <row r="863" customHeight="1" spans="2:4">
      <c r="B863"/>
      <c r="C863"/>
      <c r="D863"/>
    </row>
    <row r="864" customHeight="1" spans="2:4">
      <c r="B864"/>
      <c r="C864"/>
      <c r="D864"/>
    </row>
    <row r="865" customHeight="1" spans="2:4">
      <c r="B865"/>
      <c r="C865"/>
      <c r="D865"/>
    </row>
    <row r="866" customHeight="1" spans="2:4">
      <c r="B866"/>
      <c r="C866"/>
      <c r="D866"/>
    </row>
    <row r="867" customHeight="1" spans="2:4">
      <c r="B867"/>
      <c r="C867"/>
      <c r="D867"/>
    </row>
    <row r="868" customHeight="1" spans="2:4">
      <c r="B868"/>
      <c r="C868"/>
      <c r="D868"/>
    </row>
    <row r="869" customHeight="1" spans="2:4">
      <c r="B869"/>
      <c r="C869"/>
      <c r="D869"/>
    </row>
    <row r="870" customHeight="1" spans="2:4">
      <c r="B870"/>
      <c r="C870"/>
      <c r="D870"/>
    </row>
    <row r="871" customHeight="1" spans="2:4">
      <c r="B871"/>
      <c r="C871"/>
      <c r="D871"/>
    </row>
    <row r="872" customHeight="1" spans="2:4">
      <c r="B872"/>
      <c r="C872"/>
      <c r="D872"/>
    </row>
    <row r="873" customHeight="1" spans="2:4">
      <c r="B873"/>
      <c r="C873"/>
      <c r="D873"/>
    </row>
    <row r="874" customHeight="1" spans="2:4">
      <c r="B874"/>
      <c r="C874"/>
      <c r="D874"/>
    </row>
    <row r="875" customHeight="1" spans="2:4">
      <c r="B875"/>
      <c r="C875"/>
      <c r="D875"/>
    </row>
    <row r="876" customHeight="1" spans="2:4">
      <c r="B876"/>
      <c r="C876"/>
      <c r="D876"/>
    </row>
    <row r="877" customHeight="1" spans="2:4">
      <c r="B877"/>
      <c r="C877"/>
      <c r="D877"/>
    </row>
    <row r="878" customHeight="1" spans="2:4">
      <c r="B878"/>
      <c r="C878"/>
      <c r="D878"/>
    </row>
    <row r="879" customHeight="1" spans="2:4">
      <c r="B879"/>
      <c r="C879"/>
      <c r="D879"/>
    </row>
    <row r="880" customHeight="1" spans="2:4">
      <c r="B880"/>
      <c r="C880"/>
      <c r="D880"/>
    </row>
    <row r="881" customHeight="1" spans="2:4">
      <c r="B881"/>
      <c r="C881"/>
      <c r="D881"/>
    </row>
    <row r="882" customHeight="1" spans="2:4">
      <c r="B882"/>
      <c r="C882"/>
      <c r="D882"/>
    </row>
    <row r="883" customHeight="1" spans="2:4">
      <c r="B883"/>
      <c r="C883"/>
      <c r="D883"/>
    </row>
    <row r="884" customHeight="1" spans="2:4">
      <c r="B884"/>
      <c r="C884"/>
      <c r="D884"/>
    </row>
    <row r="885" customHeight="1" spans="2:4">
      <c r="B885"/>
      <c r="C885"/>
      <c r="D885"/>
    </row>
    <row r="886" customHeight="1" spans="2:4">
      <c r="B886"/>
      <c r="C886"/>
      <c r="D886"/>
    </row>
    <row r="887" customHeight="1" spans="2:4">
      <c r="B887"/>
      <c r="C887"/>
      <c r="D887"/>
    </row>
    <row r="888" customHeight="1" spans="2:4">
      <c r="B888"/>
      <c r="C888"/>
      <c r="D888"/>
    </row>
    <row r="889" customHeight="1" spans="2:4">
      <c r="B889"/>
      <c r="C889"/>
      <c r="D889"/>
    </row>
    <row r="890" customHeight="1" spans="2:4">
      <c r="B890"/>
      <c r="C890"/>
      <c r="D890"/>
    </row>
    <row r="891" customHeight="1" spans="2:4">
      <c r="B891"/>
      <c r="C891"/>
      <c r="D891"/>
    </row>
    <row r="892" customHeight="1" spans="2:4">
      <c r="B892"/>
      <c r="C892"/>
      <c r="D892"/>
    </row>
    <row r="893" customHeight="1" spans="2:4">
      <c r="B893"/>
      <c r="C893"/>
      <c r="D893"/>
    </row>
    <row r="894" customHeight="1" spans="2:4">
      <c r="B894"/>
      <c r="C894"/>
      <c r="D894"/>
    </row>
    <row r="895" customHeight="1" spans="2:4">
      <c r="B895"/>
      <c r="C895"/>
      <c r="D895"/>
    </row>
    <row r="896" customHeight="1" spans="2:4">
      <c r="B896"/>
      <c r="C896"/>
      <c r="D896"/>
    </row>
    <row r="897" customHeight="1" spans="2:4">
      <c r="B897"/>
      <c r="C897"/>
      <c r="D897"/>
    </row>
    <row r="898" customHeight="1" spans="2:4">
      <c r="B898"/>
      <c r="C898"/>
      <c r="D898"/>
    </row>
    <row r="899" customHeight="1" spans="2:4">
      <c r="B899"/>
      <c r="C899"/>
      <c r="D899"/>
    </row>
    <row r="900" customHeight="1" spans="2:4">
      <c r="B900"/>
      <c r="C900"/>
      <c r="D900"/>
    </row>
    <row r="901" customHeight="1" spans="2:4">
      <c r="B901"/>
      <c r="C901"/>
      <c r="D901"/>
    </row>
    <row r="902" customHeight="1" spans="2:4">
      <c r="B902"/>
      <c r="C902"/>
      <c r="D902"/>
    </row>
    <row r="903" customHeight="1" spans="2:4">
      <c r="B903"/>
      <c r="C903"/>
      <c r="D903"/>
    </row>
    <row r="904" customHeight="1" spans="2:4">
      <c r="B904"/>
      <c r="C904"/>
      <c r="D904"/>
    </row>
    <row r="905" customHeight="1" spans="2:4">
      <c r="B905"/>
      <c r="C905"/>
      <c r="D905"/>
    </row>
    <row r="906" customHeight="1" spans="2:4">
      <c r="B906"/>
      <c r="C906"/>
      <c r="D906"/>
    </row>
    <row r="907" customHeight="1" spans="2:4">
      <c r="B907"/>
      <c r="C907"/>
      <c r="D907"/>
    </row>
    <row r="908" customHeight="1" spans="2:4">
      <c r="B908"/>
      <c r="C908"/>
      <c r="D908"/>
    </row>
    <row r="909" customHeight="1" spans="2:4">
      <c r="B909"/>
      <c r="C909"/>
      <c r="D909"/>
    </row>
    <row r="910" customHeight="1" spans="2:4">
      <c r="B910"/>
      <c r="C910"/>
      <c r="D910"/>
    </row>
    <row r="911" customHeight="1" spans="2:4">
      <c r="B911"/>
      <c r="C911"/>
      <c r="D911"/>
    </row>
    <row r="912" customHeight="1" spans="2:4">
      <c r="B912"/>
      <c r="C912"/>
      <c r="D912"/>
    </row>
    <row r="913" customHeight="1" spans="2:4">
      <c r="B913"/>
      <c r="C913"/>
      <c r="D913"/>
    </row>
    <row r="914" customHeight="1" spans="2:4">
      <c r="B914"/>
      <c r="C914"/>
      <c r="D914"/>
    </row>
    <row r="915" customHeight="1" spans="2:4">
      <c r="B915"/>
      <c r="C915"/>
      <c r="D915"/>
    </row>
    <row r="916" customHeight="1" spans="2:4">
      <c r="B916"/>
      <c r="C916"/>
      <c r="D916"/>
    </row>
    <row r="917" customHeight="1" spans="2:4">
      <c r="B917"/>
      <c r="C917"/>
      <c r="D917"/>
    </row>
    <row r="918" customHeight="1" spans="2:4">
      <c r="B918"/>
      <c r="C918"/>
      <c r="D918"/>
    </row>
    <row r="919" customHeight="1" spans="2:4">
      <c r="B919"/>
      <c r="C919"/>
      <c r="D919"/>
    </row>
    <row r="920" customHeight="1" spans="2:4">
      <c r="B920"/>
      <c r="C920"/>
      <c r="D920"/>
    </row>
    <row r="921" customHeight="1" spans="2:4">
      <c r="B921"/>
      <c r="C921"/>
      <c r="D921"/>
    </row>
    <row r="922" customHeight="1" spans="2:4">
      <c r="B922"/>
      <c r="C922"/>
      <c r="D922"/>
    </row>
    <row r="923" customHeight="1" spans="2:4">
      <c r="B923"/>
      <c r="C923"/>
      <c r="D923"/>
    </row>
    <row r="924" customHeight="1" spans="2:4">
      <c r="B924"/>
      <c r="C924"/>
      <c r="D924"/>
    </row>
    <row r="925" customHeight="1" spans="2:4">
      <c r="B925"/>
      <c r="C925"/>
      <c r="D925"/>
    </row>
    <row r="926" customHeight="1" spans="2:4">
      <c r="B926"/>
      <c r="C926"/>
      <c r="D926"/>
    </row>
    <row r="927" customHeight="1" spans="2:4">
      <c r="B927"/>
      <c r="C927"/>
      <c r="D927"/>
    </row>
    <row r="928" customHeight="1" spans="2:4">
      <c r="B928"/>
      <c r="C928"/>
      <c r="D928"/>
    </row>
    <row r="929" customHeight="1" spans="2:4">
      <c r="B929"/>
      <c r="C929"/>
      <c r="D929"/>
    </row>
    <row r="930" customHeight="1" spans="2:4">
      <c r="B930"/>
      <c r="C930"/>
      <c r="D930"/>
    </row>
    <row r="931" customHeight="1" spans="2:4">
      <c r="B931"/>
      <c r="C931"/>
      <c r="D931"/>
    </row>
    <row r="932" customHeight="1" spans="2:4">
      <c r="B932"/>
      <c r="C932"/>
      <c r="D932"/>
    </row>
    <row r="933" customHeight="1" spans="2:4">
      <c r="B933"/>
      <c r="C933"/>
      <c r="D933"/>
    </row>
    <row r="934" customHeight="1" spans="2:4">
      <c r="B934"/>
      <c r="C934"/>
      <c r="D934"/>
    </row>
    <row r="935" customHeight="1" spans="2:4">
      <c r="B935"/>
      <c r="C935"/>
      <c r="D935"/>
    </row>
    <row r="936" customHeight="1" spans="2:4">
      <c r="B936"/>
      <c r="C936"/>
      <c r="D936"/>
    </row>
    <row r="937" customHeight="1" spans="2:4">
      <c r="B937"/>
      <c r="C937"/>
      <c r="D937"/>
    </row>
    <row r="938" customHeight="1" spans="2:4">
      <c r="B938"/>
      <c r="C938"/>
      <c r="D938"/>
    </row>
    <row r="939" customHeight="1" spans="2:4">
      <c r="B939"/>
      <c r="C939"/>
      <c r="D939"/>
    </row>
    <row r="940" customHeight="1" spans="2:4">
      <c r="B940"/>
      <c r="C940"/>
      <c r="D940"/>
    </row>
    <row r="941" customHeight="1" spans="2:4">
      <c r="B941"/>
      <c r="C941"/>
      <c r="D941"/>
    </row>
    <row r="942" customHeight="1" spans="2:4">
      <c r="B942"/>
      <c r="C942"/>
      <c r="D942"/>
    </row>
    <row r="943" customHeight="1" spans="2:4">
      <c r="B943"/>
      <c r="C943"/>
      <c r="D943"/>
    </row>
    <row r="944" customHeight="1" spans="2:4">
      <c r="B944"/>
      <c r="C944"/>
      <c r="D944"/>
    </row>
    <row r="945" customHeight="1" spans="2:4">
      <c r="B945"/>
      <c r="C945"/>
      <c r="D945"/>
    </row>
    <row r="946" customHeight="1" spans="2:4">
      <c r="B946"/>
      <c r="C946"/>
      <c r="D946"/>
    </row>
    <row r="947" customHeight="1" spans="2:4">
      <c r="B947"/>
      <c r="C947"/>
      <c r="D947"/>
    </row>
    <row r="948" customHeight="1" spans="2:4">
      <c r="B948"/>
      <c r="C948"/>
      <c r="D948"/>
    </row>
    <row r="949" customHeight="1" spans="2:4">
      <c r="B949"/>
      <c r="C949"/>
      <c r="D949"/>
    </row>
    <row r="950" customHeight="1" spans="2:4">
      <c r="B950"/>
      <c r="C950"/>
      <c r="D950"/>
    </row>
    <row r="951" customHeight="1" spans="2:4">
      <c r="B951"/>
      <c r="C951"/>
      <c r="D951"/>
    </row>
    <row r="952" customHeight="1" spans="2:4">
      <c r="B952"/>
      <c r="C952"/>
      <c r="D952"/>
    </row>
    <row r="953" customHeight="1" spans="2:4">
      <c r="B953"/>
      <c r="C953"/>
      <c r="D953"/>
    </row>
    <row r="954" customHeight="1" spans="2:4">
      <c r="B954"/>
      <c r="C954"/>
      <c r="D954"/>
    </row>
    <row r="955" customHeight="1" spans="2:4">
      <c r="B955"/>
      <c r="C955"/>
      <c r="D955"/>
    </row>
    <row r="956" customHeight="1" spans="2:4">
      <c r="B956"/>
      <c r="C956"/>
      <c r="D956"/>
    </row>
    <row r="957" customHeight="1" spans="2:4">
      <c r="B957"/>
      <c r="C957"/>
      <c r="D957"/>
    </row>
    <row r="958" customHeight="1" spans="2:4">
      <c r="B958"/>
      <c r="C958"/>
      <c r="D958"/>
    </row>
    <row r="959" customHeight="1" spans="2:4">
      <c r="B959"/>
      <c r="C959"/>
      <c r="D959"/>
    </row>
    <row r="960" customHeight="1" spans="2:4">
      <c r="B960"/>
      <c r="C960"/>
      <c r="D960"/>
    </row>
    <row r="961" customHeight="1" spans="2:4">
      <c r="B961"/>
      <c r="C961"/>
      <c r="D961"/>
    </row>
    <row r="962" customHeight="1" spans="2:4">
      <c r="B962"/>
      <c r="C962"/>
      <c r="D962"/>
    </row>
    <row r="963" customHeight="1" spans="2:4">
      <c r="B963"/>
      <c r="C963"/>
      <c r="D963"/>
    </row>
    <row r="964" customHeight="1" spans="2:4">
      <c r="B964"/>
      <c r="C964"/>
      <c r="D964"/>
    </row>
    <row r="965" customHeight="1" spans="2:4">
      <c r="B965"/>
      <c r="C965"/>
      <c r="D965"/>
    </row>
    <row r="966" customHeight="1" spans="2:4">
      <c r="B966"/>
      <c r="C966"/>
      <c r="D966"/>
    </row>
    <row r="967" customHeight="1" spans="2:4">
      <c r="B967"/>
      <c r="C967"/>
      <c r="D967"/>
    </row>
    <row r="968" customHeight="1" spans="2:4">
      <c r="B968"/>
      <c r="C968"/>
      <c r="D968"/>
    </row>
    <row r="969" customHeight="1" spans="2:4">
      <c r="B969"/>
      <c r="C969"/>
      <c r="D969"/>
    </row>
    <row r="970" customHeight="1" spans="2:4">
      <c r="B970"/>
      <c r="C970"/>
      <c r="D970"/>
    </row>
    <row r="971" customHeight="1" spans="2:4">
      <c r="B971"/>
      <c r="C971"/>
      <c r="D971"/>
    </row>
    <row r="972" customHeight="1" spans="2:4">
      <c r="B972"/>
      <c r="C972"/>
      <c r="D972"/>
    </row>
    <row r="973" customHeight="1" spans="2:4">
      <c r="B973"/>
      <c r="C973"/>
      <c r="D973"/>
    </row>
    <row r="974" customHeight="1" spans="2:4">
      <c r="B974"/>
      <c r="C974"/>
      <c r="D974"/>
    </row>
    <row r="975" customHeight="1" spans="2:4">
      <c r="B975"/>
      <c r="C975"/>
      <c r="D975"/>
    </row>
    <row r="976" customHeight="1" spans="2:4">
      <c r="B976"/>
      <c r="C976"/>
      <c r="D976"/>
    </row>
    <row r="977" customHeight="1" spans="2:4">
      <c r="B977"/>
      <c r="C977"/>
      <c r="D977"/>
    </row>
    <row r="978" customHeight="1" spans="2:4">
      <c r="B978"/>
      <c r="C978"/>
      <c r="D978"/>
    </row>
    <row r="979" customHeight="1" spans="2:4">
      <c r="B979"/>
      <c r="C979"/>
      <c r="D979"/>
    </row>
    <row r="980" customHeight="1" spans="2:4">
      <c r="B980"/>
      <c r="C980"/>
      <c r="D980"/>
    </row>
    <row r="981" customHeight="1" spans="2:4">
      <c r="B981"/>
      <c r="C981"/>
      <c r="D981"/>
    </row>
    <row r="982" customHeight="1" spans="2:4">
      <c r="B982"/>
      <c r="C982"/>
      <c r="D982"/>
    </row>
    <row r="983" customHeight="1" spans="2:4">
      <c r="B983"/>
      <c r="C983"/>
      <c r="D983"/>
    </row>
    <row r="984" customHeight="1" spans="2:4">
      <c r="B984"/>
      <c r="C984"/>
      <c r="D984"/>
    </row>
    <row r="985" customHeight="1" spans="2:4">
      <c r="B985"/>
      <c r="C985"/>
      <c r="D985"/>
    </row>
    <row r="986" customHeight="1" spans="2:4">
      <c r="B986"/>
      <c r="C986"/>
      <c r="D986"/>
    </row>
    <row r="987" customHeight="1" spans="2:4">
      <c r="B987"/>
      <c r="C987"/>
      <c r="D987"/>
    </row>
    <row r="988" customHeight="1" spans="2:4">
      <c r="B988"/>
      <c r="C988"/>
      <c r="D988"/>
    </row>
  </sheetData>
  <autoFilter xmlns:etc="http://www.wps.cn/officeDocument/2017/etCustomData" ref="B1:D1011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65"/>
  <sheetViews>
    <sheetView topLeftCell="A31" workbookViewId="0">
      <selection activeCell="A1" sqref="$A1:$XFD1"/>
    </sheetView>
  </sheetViews>
  <sheetFormatPr defaultColWidth="10" defaultRowHeight="13.5"/>
  <cols>
    <col min="1" max="1" width="22" style="76" customWidth="1"/>
    <col min="2" max="2" width="12.875" style="81" customWidth="1"/>
    <col min="3" max="3" width="27.625" style="81" customWidth="1"/>
    <col min="4" max="4" width="9.5" style="81" customWidth="1"/>
    <col min="5" max="5" width="10" style="82" hidden="1" customWidth="1"/>
    <col min="6" max="6" width="14.725" style="81" customWidth="1"/>
    <col min="7" max="254" width="10" style="76"/>
    <col min="255" max="255" width="32.625" style="76" customWidth="1"/>
    <col min="256" max="256" width="12.875" style="76" customWidth="1"/>
    <col min="257" max="257" width="27.625" style="76" customWidth="1"/>
    <col min="258" max="258" width="41.625" style="76" customWidth="1"/>
    <col min="259" max="259" width="9.5" style="76" customWidth="1"/>
    <col min="260" max="260" width="10.7583333333333" style="76" customWidth="1"/>
    <col min="261" max="261" width="10" style="50" hidden="1" customWidth="1"/>
    <col min="262" max="510" width="10" style="76"/>
    <col min="511" max="511" width="32.625" style="76" customWidth="1"/>
    <col min="512" max="512" width="12.875" style="76" customWidth="1"/>
    <col min="513" max="513" width="27.625" style="76" customWidth="1"/>
    <col min="514" max="514" width="41.625" style="76" customWidth="1"/>
    <col min="515" max="515" width="9.5" style="76" customWidth="1"/>
    <col min="516" max="516" width="10.7583333333333" style="76" customWidth="1"/>
    <col min="517" max="517" width="10" style="50" hidden="1" customWidth="1"/>
    <col min="518" max="766" width="10" style="76"/>
    <col min="767" max="767" width="32.625" style="76" customWidth="1"/>
    <col min="768" max="768" width="12.875" style="76" customWidth="1"/>
    <col min="769" max="769" width="27.625" style="76" customWidth="1"/>
    <col min="770" max="770" width="41.625" style="76" customWidth="1"/>
    <col min="771" max="771" width="9.5" style="76" customWidth="1"/>
    <col min="772" max="772" width="10.7583333333333" style="76" customWidth="1"/>
    <col min="773" max="773" width="10" style="50" hidden="1" customWidth="1"/>
    <col min="774" max="1022" width="10" style="76"/>
    <col min="1023" max="1023" width="32.625" style="76" customWidth="1"/>
    <col min="1024" max="1024" width="12.875" style="76" customWidth="1"/>
    <col min="1025" max="1025" width="27.625" style="76" customWidth="1"/>
    <col min="1026" max="1026" width="41.625" style="76" customWidth="1"/>
    <col min="1027" max="1027" width="9.5" style="76" customWidth="1"/>
    <col min="1028" max="1028" width="10.7583333333333" style="76" customWidth="1"/>
    <col min="1029" max="1029" width="10" style="50" hidden="1" customWidth="1"/>
    <col min="1030" max="1278" width="10" style="76"/>
    <col min="1279" max="1279" width="32.625" style="76" customWidth="1"/>
    <col min="1280" max="1280" width="12.875" style="76" customWidth="1"/>
    <col min="1281" max="1281" width="27.625" style="76" customWidth="1"/>
    <col min="1282" max="1282" width="41.625" style="76" customWidth="1"/>
    <col min="1283" max="1283" width="9.5" style="76" customWidth="1"/>
    <col min="1284" max="1284" width="10.7583333333333" style="76" customWidth="1"/>
    <col min="1285" max="1285" width="10" style="50" hidden="1" customWidth="1"/>
    <col min="1286" max="1534" width="10" style="76"/>
    <col min="1535" max="1535" width="32.625" style="76" customWidth="1"/>
    <col min="1536" max="1536" width="12.875" style="76" customWidth="1"/>
    <col min="1537" max="1537" width="27.625" style="76" customWidth="1"/>
    <col min="1538" max="1538" width="41.625" style="76" customWidth="1"/>
    <col min="1539" max="1539" width="9.5" style="76" customWidth="1"/>
    <col min="1540" max="1540" width="10.7583333333333" style="76" customWidth="1"/>
    <col min="1541" max="1541" width="10" style="50" hidden="1" customWidth="1"/>
    <col min="1542" max="1790" width="10" style="76"/>
    <col min="1791" max="1791" width="32.625" style="76" customWidth="1"/>
    <col min="1792" max="1792" width="12.875" style="76" customWidth="1"/>
    <col min="1793" max="1793" width="27.625" style="76" customWidth="1"/>
    <col min="1794" max="1794" width="41.625" style="76" customWidth="1"/>
    <col min="1795" max="1795" width="9.5" style="76" customWidth="1"/>
    <col min="1796" max="1796" width="10.7583333333333" style="76" customWidth="1"/>
    <col min="1797" max="1797" width="10" style="50" hidden="1" customWidth="1"/>
    <col min="1798" max="2046" width="10" style="76"/>
    <col min="2047" max="2047" width="32.625" style="76" customWidth="1"/>
    <col min="2048" max="2048" width="12.875" style="76" customWidth="1"/>
    <col min="2049" max="2049" width="27.625" style="76" customWidth="1"/>
    <col min="2050" max="2050" width="41.625" style="76" customWidth="1"/>
    <col min="2051" max="2051" width="9.5" style="76" customWidth="1"/>
    <col min="2052" max="2052" width="10.7583333333333" style="76" customWidth="1"/>
    <col min="2053" max="2053" width="10" style="50" hidden="1" customWidth="1"/>
    <col min="2054" max="2302" width="10" style="76"/>
    <col min="2303" max="2303" width="32.625" style="76" customWidth="1"/>
    <col min="2304" max="2304" width="12.875" style="76" customWidth="1"/>
    <col min="2305" max="2305" width="27.625" style="76" customWidth="1"/>
    <col min="2306" max="2306" width="41.625" style="76" customWidth="1"/>
    <col min="2307" max="2307" width="9.5" style="76" customWidth="1"/>
    <col min="2308" max="2308" width="10.7583333333333" style="76" customWidth="1"/>
    <col min="2309" max="2309" width="10" style="50" hidden="1" customWidth="1"/>
    <col min="2310" max="2558" width="10" style="76"/>
    <col min="2559" max="2559" width="32.625" style="76" customWidth="1"/>
    <col min="2560" max="2560" width="12.875" style="76" customWidth="1"/>
    <col min="2561" max="2561" width="27.625" style="76" customWidth="1"/>
    <col min="2562" max="2562" width="41.625" style="76" customWidth="1"/>
    <col min="2563" max="2563" width="9.5" style="76" customWidth="1"/>
    <col min="2564" max="2564" width="10.7583333333333" style="76" customWidth="1"/>
    <col min="2565" max="2565" width="10" style="50" hidden="1" customWidth="1"/>
    <col min="2566" max="2814" width="10" style="76"/>
    <col min="2815" max="2815" width="32.625" style="76" customWidth="1"/>
    <col min="2816" max="2816" width="12.875" style="76" customWidth="1"/>
    <col min="2817" max="2817" width="27.625" style="76" customWidth="1"/>
    <col min="2818" max="2818" width="41.625" style="76" customWidth="1"/>
    <col min="2819" max="2819" width="9.5" style="76" customWidth="1"/>
    <col min="2820" max="2820" width="10.7583333333333" style="76" customWidth="1"/>
    <col min="2821" max="2821" width="10" style="50" hidden="1" customWidth="1"/>
    <col min="2822" max="3070" width="10" style="76"/>
    <col min="3071" max="3071" width="32.625" style="76" customWidth="1"/>
    <col min="3072" max="3072" width="12.875" style="76" customWidth="1"/>
    <col min="3073" max="3073" width="27.625" style="76" customWidth="1"/>
    <col min="3074" max="3074" width="41.625" style="76" customWidth="1"/>
    <col min="3075" max="3075" width="9.5" style="76" customWidth="1"/>
    <col min="3076" max="3076" width="10.7583333333333" style="76" customWidth="1"/>
    <col min="3077" max="3077" width="10" style="50" hidden="1" customWidth="1"/>
    <col min="3078" max="3326" width="10" style="76"/>
    <col min="3327" max="3327" width="32.625" style="76" customWidth="1"/>
    <col min="3328" max="3328" width="12.875" style="76" customWidth="1"/>
    <col min="3329" max="3329" width="27.625" style="76" customWidth="1"/>
    <col min="3330" max="3330" width="41.625" style="76" customWidth="1"/>
    <col min="3331" max="3331" width="9.5" style="76" customWidth="1"/>
    <col min="3332" max="3332" width="10.7583333333333" style="76" customWidth="1"/>
    <col min="3333" max="3333" width="10" style="50" hidden="1" customWidth="1"/>
    <col min="3334" max="3582" width="10" style="76"/>
    <col min="3583" max="3583" width="32.625" style="76" customWidth="1"/>
    <col min="3584" max="3584" width="12.875" style="76" customWidth="1"/>
    <col min="3585" max="3585" width="27.625" style="76" customWidth="1"/>
    <col min="3586" max="3586" width="41.625" style="76" customWidth="1"/>
    <col min="3587" max="3587" width="9.5" style="76" customWidth="1"/>
    <col min="3588" max="3588" width="10.7583333333333" style="76" customWidth="1"/>
    <col min="3589" max="3589" width="10" style="50" hidden="1" customWidth="1"/>
    <col min="3590" max="3838" width="10" style="76"/>
    <col min="3839" max="3839" width="32.625" style="76" customWidth="1"/>
    <col min="3840" max="3840" width="12.875" style="76" customWidth="1"/>
    <col min="3841" max="3841" width="27.625" style="76" customWidth="1"/>
    <col min="3842" max="3842" width="41.625" style="76" customWidth="1"/>
    <col min="3843" max="3843" width="9.5" style="76" customWidth="1"/>
    <col min="3844" max="3844" width="10.7583333333333" style="76" customWidth="1"/>
    <col min="3845" max="3845" width="10" style="50" hidden="1" customWidth="1"/>
    <col min="3846" max="4094" width="10" style="76"/>
    <col min="4095" max="4095" width="32.625" style="76" customWidth="1"/>
    <col min="4096" max="4096" width="12.875" style="76" customWidth="1"/>
    <col min="4097" max="4097" width="27.625" style="76" customWidth="1"/>
    <col min="4098" max="4098" width="41.625" style="76" customWidth="1"/>
    <col min="4099" max="4099" width="9.5" style="76" customWidth="1"/>
    <col min="4100" max="4100" width="10.7583333333333" style="76" customWidth="1"/>
    <col min="4101" max="4101" width="10" style="50" hidden="1" customWidth="1"/>
    <col min="4102" max="4350" width="10" style="76"/>
    <col min="4351" max="4351" width="32.625" style="76" customWidth="1"/>
    <col min="4352" max="4352" width="12.875" style="76" customWidth="1"/>
    <col min="4353" max="4353" width="27.625" style="76" customWidth="1"/>
    <col min="4354" max="4354" width="41.625" style="76" customWidth="1"/>
    <col min="4355" max="4355" width="9.5" style="76" customWidth="1"/>
    <col min="4356" max="4356" width="10.7583333333333" style="76" customWidth="1"/>
    <col min="4357" max="4357" width="10" style="50" hidden="1" customWidth="1"/>
    <col min="4358" max="4606" width="10" style="76"/>
    <col min="4607" max="4607" width="32.625" style="76" customWidth="1"/>
    <col min="4608" max="4608" width="12.875" style="76" customWidth="1"/>
    <col min="4609" max="4609" width="27.625" style="76" customWidth="1"/>
    <col min="4610" max="4610" width="41.625" style="76" customWidth="1"/>
    <col min="4611" max="4611" width="9.5" style="76" customWidth="1"/>
    <col min="4612" max="4612" width="10.7583333333333" style="76" customWidth="1"/>
    <col min="4613" max="4613" width="10" style="50" hidden="1" customWidth="1"/>
    <col min="4614" max="4862" width="10" style="76"/>
    <col min="4863" max="4863" width="32.625" style="76" customWidth="1"/>
    <col min="4864" max="4864" width="12.875" style="76" customWidth="1"/>
    <col min="4865" max="4865" width="27.625" style="76" customWidth="1"/>
    <col min="4866" max="4866" width="41.625" style="76" customWidth="1"/>
    <col min="4867" max="4867" width="9.5" style="76" customWidth="1"/>
    <col min="4868" max="4868" width="10.7583333333333" style="76" customWidth="1"/>
    <col min="4869" max="4869" width="10" style="50" hidden="1" customWidth="1"/>
    <col min="4870" max="5118" width="10" style="76"/>
    <col min="5119" max="5119" width="32.625" style="76" customWidth="1"/>
    <col min="5120" max="5120" width="12.875" style="76" customWidth="1"/>
    <col min="5121" max="5121" width="27.625" style="76" customWidth="1"/>
    <col min="5122" max="5122" width="41.625" style="76" customWidth="1"/>
    <col min="5123" max="5123" width="9.5" style="76" customWidth="1"/>
    <col min="5124" max="5124" width="10.7583333333333" style="76" customWidth="1"/>
    <col min="5125" max="5125" width="10" style="50" hidden="1" customWidth="1"/>
    <col min="5126" max="5374" width="10" style="76"/>
    <col min="5375" max="5375" width="32.625" style="76" customWidth="1"/>
    <col min="5376" max="5376" width="12.875" style="76" customWidth="1"/>
    <col min="5377" max="5377" width="27.625" style="76" customWidth="1"/>
    <col min="5378" max="5378" width="41.625" style="76" customWidth="1"/>
    <col min="5379" max="5379" width="9.5" style="76" customWidth="1"/>
    <col min="5380" max="5380" width="10.7583333333333" style="76" customWidth="1"/>
    <col min="5381" max="5381" width="10" style="50" hidden="1" customWidth="1"/>
    <col min="5382" max="5630" width="10" style="76"/>
    <col min="5631" max="5631" width="32.625" style="76" customWidth="1"/>
    <col min="5632" max="5632" width="12.875" style="76" customWidth="1"/>
    <col min="5633" max="5633" width="27.625" style="76" customWidth="1"/>
    <col min="5634" max="5634" width="41.625" style="76" customWidth="1"/>
    <col min="5635" max="5635" width="9.5" style="76" customWidth="1"/>
    <col min="5636" max="5636" width="10.7583333333333" style="76" customWidth="1"/>
    <col min="5637" max="5637" width="10" style="50" hidden="1" customWidth="1"/>
    <col min="5638" max="5886" width="10" style="76"/>
    <col min="5887" max="5887" width="32.625" style="76" customWidth="1"/>
    <col min="5888" max="5888" width="12.875" style="76" customWidth="1"/>
    <col min="5889" max="5889" width="27.625" style="76" customWidth="1"/>
    <col min="5890" max="5890" width="41.625" style="76" customWidth="1"/>
    <col min="5891" max="5891" width="9.5" style="76" customWidth="1"/>
    <col min="5892" max="5892" width="10.7583333333333" style="76" customWidth="1"/>
    <col min="5893" max="5893" width="10" style="50" hidden="1" customWidth="1"/>
    <col min="5894" max="6142" width="10" style="76"/>
    <col min="6143" max="6143" width="32.625" style="76" customWidth="1"/>
    <col min="6144" max="6144" width="12.875" style="76" customWidth="1"/>
    <col min="6145" max="6145" width="27.625" style="76" customWidth="1"/>
    <col min="6146" max="6146" width="41.625" style="76" customWidth="1"/>
    <col min="6147" max="6147" width="9.5" style="76" customWidth="1"/>
    <col min="6148" max="6148" width="10.7583333333333" style="76" customWidth="1"/>
    <col min="6149" max="6149" width="10" style="50" hidden="1" customWidth="1"/>
    <col min="6150" max="6398" width="10" style="76"/>
    <col min="6399" max="6399" width="32.625" style="76" customWidth="1"/>
    <col min="6400" max="6400" width="12.875" style="76" customWidth="1"/>
    <col min="6401" max="6401" width="27.625" style="76" customWidth="1"/>
    <col min="6402" max="6402" width="41.625" style="76" customWidth="1"/>
    <col min="6403" max="6403" width="9.5" style="76" customWidth="1"/>
    <col min="6404" max="6404" width="10.7583333333333" style="76" customWidth="1"/>
    <col min="6405" max="6405" width="10" style="50" hidden="1" customWidth="1"/>
    <col min="6406" max="6654" width="10" style="76"/>
    <col min="6655" max="6655" width="32.625" style="76" customWidth="1"/>
    <col min="6656" max="6656" width="12.875" style="76" customWidth="1"/>
    <col min="6657" max="6657" width="27.625" style="76" customWidth="1"/>
    <col min="6658" max="6658" width="41.625" style="76" customWidth="1"/>
    <col min="6659" max="6659" width="9.5" style="76" customWidth="1"/>
    <col min="6660" max="6660" width="10.7583333333333" style="76" customWidth="1"/>
    <col min="6661" max="6661" width="10" style="50" hidden="1" customWidth="1"/>
    <col min="6662" max="6910" width="10" style="76"/>
    <col min="6911" max="6911" width="32.625" style="76" customWidth="1"/>
    <col min="6912" max="6912" width="12.875" style="76" customWidth="1"/>
    <col min="6913" max="6913" width="27.625" style="76" customWidth="1"/>
    <col min="6914" max="6914" width="41.625" style="76" customWidth="1"/>
    <col min="6915" max="6915" width="9.5" style="76" customWidth="1"/>
    <col min="6916" max="6916" width="10.7583333333333" style="76" customWidth="1"/>
    <col min="6917" max="6917" width="10" style="50" hidden="1" customWidth="1"/>
    <col min="6918" max="7166" width="10" style="76"/>
    <col min="7167" max="7167" width="32.625" style="76" customWidth="1"/>
    <col min="7168" max="7168" width="12.875" style="76" customWidth="1"/>
    <col min="7169" max="7169" width="27.625" style="76" customWidth="1"/>
    <col min="7170" max="7170" width="41.625" style="76" customWidth="1"/>
    <col min="7171" max="7171" width="9.5" style="76" customWidth="1"/>
    <col min="7172" max="7172" width="10.7583333333333" style="76" customWidth="1"/>
    <col min="7173" max="7173" width="10" style="50" hidden="1" customWidth="1"/>
    <col min="7174" max="7422" width="10" style="76"/>
    <col min="7423" max="7423" width="32.625" style="76" customWidth="1"/>
    <col min="7424" max="7424" width="12.875" style="76" customWidth="1"/>
    <col min="7425" max="7425" width="27.625" style="76" customWidth="1"/>
    <col min="7426" max="7426" width="41.625" style="76" customWidth="1"/>
    <col min="7427" max="7427" width="9.5" style="76" customWidth="1"/>
    <col min="7428" max="7428" width="10.7583333333333" style="76" customWidth="1"/>
    <col min="7429" max="7429" width="10" style="50" hidden="1" customWidth="1"/>
    <col min="7430" max="7678" width="10" style="76"/>
    <col min="7679" max="7679" width="32.625" style="76" customWidth="1"/>
    <col min="7680" max="7680" width="12.875" style="76" customWidth="1"/>
    <col min="7681" max="7681" width="27.625" style="76" customWidth="1"/>
    <col min="7682" max="7682" width="41.625" style="76" customWidth="1"/>
    <col min="7683" max="7683" width="9.5" style="76" customWidth="1"/>
    <col min="7684" max="7684" width="10.7583333333333" style="76" customWidth="1"/>
    <col min="7685" max="7685" width="10" style="50" hidden="1" customWidth="1"/>
    <col min="7686" max="7934" width="10" style="76"/>
    <col min="7935" max="7935" width="32.625" style="76" customWidth="1"/>
    <col min="7936" max="7936" width="12.875" style="76" customWidth="1"/>
    <col min="7937" max="7937" width="27.625" style="76" customWidth="1"/>
    <col min="7938" max="7938" width="41.625" style="76" customWidth="1"/>
    <col min="7939" max="7939" width="9.5" style="76" customWidth="1"/>
    <col min="7940" max="7940" width="10.7583333333333" style="76" customWidth="1"/>
    <col min="7941" max="7941" width="10" style="50" hidden="1" customWidth="1"/>
    <col min="7942" max="8190" width="10" style="76"/>
    <col min="8191" max="8191" width="32.625" style="76" customWidth="1"/>
    <col min="8192" max="8192" width="12.875" style="76" customWidth="1"/>
    <col min="8193" max="8193" width="27.625" style="76" customWidth="1"/>
    <col min="8194" max="8194" width="41.625" style="76" customWidth="1"/>
    <col min="8195" max="8195" width="9.5" style="76" customWidth="1"/>
    <col min="8196" max="8196" width="10.7583333333333" style="76" customWidth="1"/>
    <col min="8197" max="8197" width="10" style="50" hidden="1" customWidth="1"/>
    <col min="8198" max="8446" width="10" style="76"/>
    <col min="8447" max="8447" width="32.625" style="76" customWidth="1"/>
    <col min="8448" max="8448" width="12.875" style="76" customWidth="1"/>
    <col min="8449" max="8449" width="27.625" style="76" customWidth="1"/>
    <col min="8450" max="8450" width="41.625" style="76" customWidth="1"/>
    <col min="8451" max="8451" width="9.5" style="76" customWidth="1"/>
    <col min="8452" max="8452" width="10.7583333333333" style="76" customWidth="1"/>
    <col min="8453" max="8453" width="10" style="50" hidden="1" customWidth="1"/>
    <col min="8454" max="8702" width="10" style="76"/>
    <col min="8703" max="8703" width="32.625" style="76" customWidth="1"/>
    <col min="8704" max="8704" width="12.875" style="76" customWidth="1"/>
    <col min="8705" max="8705" width="27.625" style="76" customWidth="1"/>
    <col min="8706" max="8706" width="41.625" style="76" customWidth="1"/>
    <col min="8707" max="8707" width="9.5" style="76" customWidth="1"/>
    <col min="8708" max="8708" width="10.7583333333333" style="76" customWidth="1"/>
    <col min="8709" max="8709" width="10" style="50" hidden="1" customWidth="1"/>
    <col min="8710" max="8958" width="10" style="76"/>
    <col min="8959" max="8959" width="32.625" style="76" customWidth="1"/>
    <col min="8960" max="8960" width="12.875" style="76" customWidth="1"/>
    <col min="8961" max="8961" width="27.625" style="76" customWidth="1"/>
    <col min="8962" max="8962" width="41.625" style="76" customWidth="1"/>
    <col min="8963" max="8963" width="9.5" style="76" customWidth="1"/>
    <col min="8964" max="8964" width="10.7583333333333" style="76" customWidth="1"/>
    <col min="8965" max="8965" width="10" style="50" hidden="1" customWidth="1"/>
    <col min="8966" max="9214" width="10" style="76"/>
    <col min="9215" max="9215" width="32.625" style="76" customWidth="1"/>
    <col min="9216" max="9216" width="12.875" style="76" customWidth="1"/>
    <col min="9217" max="9217" width="27.625" style="76" customWidth="1"/>
    <col min="9218" max="9218" width="41.625" style="76" customWidth="1"/>
    <col min="9219" max="9219" width="9.5" style="76" customWidth="1"/>
    <col min="9220" max="9220" width="10.7583333333333" style="76" customWidth="1"/>
    <col min="9221" max="9221" width="10" style="50" hidden="1" customWidth="1"/>
    <col min="9222" max="9470" width="10" style="76"/>
    <col min="9471" max="9471" width="32.625" style="76" customWidth="1"/>
    <col min="9472" max="9472" width="12.875" style="76" customWidth="1"/>
    <col min="9473" max="9473" width="27.625" style="76" customWidth="1"/>
    <col min="9474" max="9474" width="41.625" style="76" customWidth="1"/>
    <col min="9475" max="9475" width="9.5" style="76" customWidth="1"/>
    <col min="9476" max="9476" width="10.7583333333333" style="76" customWidth="1"/>
    <col min="9477" max="9477" width="10" style="50" hidden="1" customWidth="1"/>
    <col min="9478" max="9726" width="10" style="76"/>
    <col min="9727" max="9727" width="32.625" style="76" customWidth="1"/>
    <col min="9728" max="9728" width="12.875" style="76" customWidth="1"/>
    <col min="9729" max="9729" width="27.625" style="76" customWidth="1"/>
    <col min="9730" max="9730" width="41.625" style="76" customWidth="1"/>
    <col min="9731" max="9731" width="9.5" style="76" customWidth="1"/>
    <col min="9732" max="9732" width="10.7583333333333" style="76" customWidth="1"/>
    <col min="9733" max="9733" width="10" style="50" hidden="1" customWidth="1"/>
    <col min="9734" max="9982" width="10" style="76"/>
    <col min="9983" max="9983" width="32.625" style="76" customWidth="1"/>
    <col min="9984" max="9984" width="12.875" style="76" customWidth="1"/>
    <col min="9985" max="9985" width="27.625" style="76" customWidth="1"/>
    <col min="9986" max="9986" width="41.625" style="76" customWidth="1"/>
    <col min="9987" max="9987" width="9.5" style="76" customWidth="1"/>
    <col min="9988" max="9988" width="10.7583333333333" style="76" customWidth="1"/>
    <col min="9989" max="9989" width="10" style="50" hidden="1" customWidth="1"/>
    <col min="9990" max="10238" width="10" style="76"/>
    <col min="10239" max="10239" width="32.625" style="76" customWidth="1"/>
    <col min="10240" max="10240" width="12.875" style="76" customWidth="1"/>
    <col min="10241" max="10241" width="27.625" style="76" customWidth="1"/>
    <col min="10242" max="10242" width="41.625" style="76" customWidth="1"/>
    <col min="10243" max="10243" width="9.5" style="76" customWidth="1"/>
    <col min="10244" max="10244" width="10.7583333333333" style="76" customWidth="1"/>
    <col min="10245" max="10245" width="10" style="50" hidden="1" customWidth="1"/>
    <col min="10246" max="10494" width="10" style="76"/>
    <col min="10495" max="10495" width="32.625" style="76" customWidth="1"/>
    <col min="10496" max="10496" width="12.875" style="76" customWidth="1"/>
    <col min="10497" max="10497" width="27.625" style="76" customWidth="1"/>
    <col min="10498" max="10498" width="41.625" style="76" customWidth="1"/>
    <col min="10499" max="10499" width="9.5" style="76" customWidth="1"/>
    <col min="10500" max="10500" width="10.7583333333333" style="76" customWidth="1"/>
    <col min="10501" max="10501" width="10" style="50" hidden="1" customWidth="1"/>
    <col min="10502" max="10750" width="10" style="76"/>
    <col min="10751" max="10751" width="32.625" style="76" customWidth="1"/>
    <col min="10752" max="10752" width="12.875" style="76" customWidth="1"/>
    <col min="10753" max="10753" width="27.625" style="76" customWidth="1"/>
    <col min="10754" max="10754" width="41.625" style="76" customWidth="1"/>
    <col min="10755" max="10755" width="9.5" style="76" customWidth="1"/>
    <col min="10756" max="10756" width="10.7583333333333" style="76" customWidth="1"/>
    <col min="10757" max="10757" width="10" style="50" hidden="1" customWidth="1"/>
    <col min="10758" max="11006" width="10" style="76"/>
    <col min="11007" max="11007" width="32.625" style="76" customWidth="1"/>
    <col min="11008" max="11008" width="12.875" style="76" customWidth="1"/>
    <col min="11009" max="11009" width="27.625" style="76" customWidth="1"/>
    <col min="11010" max="11010" width="41.625" style="76" customWidth="1"/>
    <col min="11011" max="11011" width="9.5" style="76" customWidth="1"/>
    <col min="11012" max="11012" width="10.7583333333333" style="76" customWidth="1"/>
    <col min="11013" max="11013" width="10" style="50" hidden="1" customWidth="1"/>
    <col min="11014" max="11262" width="10" style="76"/>
    <col min="11263" max="11263" width="32.625" style="76" customWidth="1"/>
    <col min="11264" max="11264" width="12.875" style="76" customWidth="1"/>
    <col min="11265" max="11265" width="27.625" style="76" customWidth="1"/>
    <col min="11266" max="11266" width="41.625" style="76" customWidth="1"/>
    <col min="11267" max="11267" width="9.5" style="76" customWidth="1"/>
    <col min="11268" max="11268" width="10.7583333333333" style="76" customWidth="1"/>
    <col min="11269" max="11269" width="10" style="50" hidden="1" customWidth="1"/>
    <col min="11270" max="11518" width="10" style="76"/>
    <col min="11519" max="11519" width="32.625" style="76" customWidth="1"/>
    <col min="11520" max="11520" width="12.875" style="76" customWidth="1"/>
    <col min="11521" max="11521" width="27.625" style="76" customWidth="1"/>
    <col min="11522" max="11522" width="41.625" style="76" customWidth="1"/>
    <col min="11523" max="11523" width="9.5" style="76" customWidth="1"/>
    <col min="11524" max="11524" width="10.7583333333333" style="76" customWidth="1"/>
    <col min="11525" max="11525" width="10" style="50" hidden="1" customWidth="1"/>
    <col min="11526" max="11774" width="10" style="76"/>
    <col min="11775" max="11775" width="32.625" style="76" customWidth="1"/>
    <col min="11776" max="11776" width="12.875" style="76" customWidth="1"/>
    <col min="11777" max="11777" width="27.625" style="76" customWidth="1"/>
    <col min="11778" max="11778" width="41.625" style="76" customWidth="1"/>
    <col min="11779" max="11779" width="9.5" style="76" customWidth="1"/>
    <col min="11780" max="11780" width="10.7583333333333" style="76" customWidth="1"/>
    <col min="11781" max="11781" width="10" style="50" hidden="1" customWidth="1"/>
    <col min="11782" max="12030" width="10" style="76"/>
    <col min="12031" max="12031" width="32.625" style="76" customWidth="1"/>
    <col min="12032" max="12032" width="12.875" style="76" customWidth="1"/>
    <col min="12033" max="12033" width="27.625" style="76" customWidth="1"/>
    <col min="12034" max="12034" width="41.625" style="76" customWidth="1"/>
    <col min="12035" max="12035" width="9.5" style="76" customWidth="1"/>
    <col min="12036" max="12036" width="10.7583333333333" style="76" customWidth="1"/>
    <col min="12037" max="12037" width="10" style="50" hidden="1" customWidth="1"/>
    <col min="12038" max="12286" width="10" style="76"/>
    <col min="12287" max="12287" width="32.625" style="76" customWidth="1"/>
    <col min="12288" max="12288" width="12.875" style="76" customWidth="1"/>
    <col min="12289" max="12289" width="27.625" style="76" customWidth="1"/>
    <col min="12290" max="12290" width="41.625" style="76" customWidth="1"/>
    <col min="12291" max="12291" width="9.5" style="76" customWidth="1"/>
    <col min="12292" max="12292" width="10.7583333333333" style="76" customWidth="1"/>
    <col min="12293" max="12293" width="10" style="50" hidden="1" customWidth="1"/>
    <col min="12294" max="12542" width="10" style="76"/>
    <col min="12543" max="12543" width="32.625" style="76" customWidth="1"/>
    <col min="12544" max="12544" width="12.875" style="76" customWidth="1"/>
    <col min="12545" max="12545" width="27.625" style="76" customWidth="1"/>
    <col min="12546" max="12546" width="41.625" style="76" customWidth="1"/>
    <col min="12547" max="12547" width="9.5" style="76" customWidth="1"/>
    <col min="12548" max="12548" width="10.7583333333333" style="76" customWidth="1"/>
    <col min="12549" max="12549" width="10" style="50" hidden="1" customWidth="1"/>
    <col min="12550" max="12798" width="10" style="76"/>
    <col min="12799" max="12799" width="32.625" style="76" customWidth="1"/>
    <col min="12800" max="12800" width="12.875" style="76" customWidth="1"/>
    <col min="12801" max="12801" width="27.625" style="76" customWidth="1"/>
    <col min="12802" max="12802" width="41.625" style="76" customWidth="1"/>
    <col min="12803" max="12803" width="9.5" style="76" customWidth="1"/>
    <col min="12804" max="12804" width="10.7583333333333" style="76" customWidth="1"/>
    <col min="12805" max="12805" width="10" style="50" hidden="1" customWidth="1"/>
    <col min="12806" max="13054" width="10" style="76"/>
    <col min="13055" max="13055" width="32.625" style="76" customWidth="1"/>
    <col min="13056" max="13056" width="12.875" style="76" customWidth="1"/>
    <col min="13057" max="13057" width="27.625" style="76" customWidth="1"/>
    <col min="13058" max="13058" width="41.625" style="76" customWidth="1"/>
    <col min="13059" max="13059" width="9.5" style="76" customWidth="1"/>
    <col min="13060" max="13060" width="10.7583333333333" style="76" customWidth="1"/>
    <col min="13061" max="13061" width="10" style="50" hidden="1" customWidth="1"/>
    <col min="13062" max="13310" width="10" style="76"/>
    <col min="13311" max="13311" width="32.625" style="76" customWidth="1"/>
    <col min="13312" max="13312" width="12.875" style="76" customWidth="1"/>
    <col min="13313" max="13313" width="27.625" style="76" customWidth="1"/>
    <col min="13314" max="13314" width="41.625" style="76" customWidth="1"/>
    <col min="13315" max="13315" width="9.5" style="76" customWidth="1"/>
    <col min="13316" max="13316" width="10.7583333333333" style="76" customWidth="1"/>
    <col min="13317" max="13317" width="10" style="50" hidden="1" customWidth="1"/>
    <col min="13318" max="13566" width="10" style="76"/>
    <col min="13567" max="13567" width="32.625" style="76" customWidth="1"/>
    <col min="13568" max="13568" width="12.875" style="76" customWidth="1"/>
    <col min="13569" max="13569" width="27.625" style="76" customWidth="1"/>
    <col min="13570" max="13570" width="41.625" style="76" customWidth="1"/>
    <col min="13571" max="13571" width="9.5" style="76" customWidth="1"/>
    <col min="13572" max="13572" width="10.7583333333333" style="76" customWidth="1"/>
    <col min="13573" max="13573" width="10" style="50" hidden="1" customWidth="1"/>
    <col min="13574" max="13822" width="10" style="76"/>
    <col min="13823" max="13823" width="32.625" style="76" customWidth="1"/>
    <col min="13824" max="13824" width="12.875" style="76" customWidth="1"/>
    <col min="13825" max="13825" width="27.625" style="76" customWidth="1"/>
    <col min="13826" max="13826" width="41.625" style="76" customWidth="1"/>
    <col min="13827" max="13827" width="9.5" style="76" customWidth="1"/>
    <col min="13828" max="13828" width="10.7583333333333" style="76" customWidth="1"/>
    <col min="13829" max="13829" width="10" style="50" hidden="1" customWidth="1"/>
    <col min="13830" max="14078" width="10" style="76"/>
    <col min="14079" max="14079" width="32.625" style="76" customWidth="1"/>
    <col min="14080" max="14080" width="12.875" style="76" customWidth="1"/>
    <col min="14081" max="14081" width="27.625" style="76" customWidth="1"/>
    <col min="14082" max="14082" width="41.625" style="76" customWidth="1"/>
    <col min="14083" max="14083" width="9.5" style="76" customWidth="1"/>
    <col min="14084" max="14084" width="10.7583333333333" style="76" customWidth="1"/>
    <col min="14085" max="14085" width="10" style="50" hidden="1" customWidth="1"/>
    <col min="14086" max="14334" width="10" style="76"/>
    <col min="14335" max="14335" width="32.625" style="76" customWidth="1"/>
    <col min="14336" max="14336" width="12.875" style="76" customWidth="1"/>
    <col min="14337" max="14337" width="27.625" style="76" customWidth="1"/>
    <col min="14338" max="14338" width="41.625" style="76" customWidth="1"/>
    <col min="14339" max="14339" width="9.5" style="76" customWidth="1"/>
    <col min="14340" max="14340" width="10.7583333333333" style="76" customWidth="1"/>
    <col min="14341" max="14341" width="10" style="50" hidden="1" customWidth="1"/>
    <col min="14342" max="14590" width="10" style="76"/>
    <col min="14591" max="14591" width="32.625" style="76" customWidth="1"/>
    <col min="14592" max="14592" width="12.875" style="76" customWidth="1"/>
    <col min="14593" max="14593" width="27.625" style="76" customWidth="1"/>
    <col min="14594" max="14594" width="41.625" style="76" customWidth="1"/>
    <col min="14595" max="14595" width="9.5" style="76" customWidth="1"/>
    <col min="14596" max="14596" width="10.7583333333333" style="76" customWidth="1"/>
    <col min="14597" max="14597" width="10" style="50" hidden="1" customWidth="1"/>
    <col min="14598" max="14846" width="10" style="76"/>
    <col min="14847" max="14847" width="32.625" style="76" customWidth="1"/>
    <col min="14848" max="14848" width="12.875" style="76" customWidth="1"/>
    <col min="14849" max="14849" width="27.625" style="76" customWidth="1"/>
    <col min="14850" max="14850" width="41.625" style="76" customWidth="1"/>
    <col min="14851" max="14851" width="9.5" style="76" customWidth="1"/>
    <col min="14852" max="14852" width="10.7583333333333" style="76" customWidth="1"/>
    <col min="14853" max="14853" width="10" style="50" hidden="1" customWidth="1"/>
    <col min="14854" max="15102" width="10" style="76"/>
    <col min="15103" max="15103" width="32.625" style="76" customWidth="1"/>
    <col min="15104" max="15104" width="12.875" style="76" customWidth="1"/>
    <col min="15105" max="15105" width="27.625" style="76" customWidth="1"/>
    <col min="15106" max="15106" width="41.625" style="76" customWidth="1"/>
    <col min="15107" max="15107" width="9.5" style="76" customWidth="1"/>
    <col min="15108" max="15108" width="10.7583333333333" style="76" customWidth="1"/>
    <col min="15109" max="15109" width="10" style="50" hidden="1" customWidth="1"/>
    <col min="15110" max="15358" width="10" style="76"/>
    <col min="15359" max="15359" width="32.625" style="76" customWidth="1"/>
    <col min="15360" max="15360" width="12.875" style="76" customWidth="1"/>
    <col min="15361" max="15361" width="27.625" style="76" customWidth="1"/>
    <col min="15362" max="15362" width="41.625" style="76" customWidth="1"/>
    <col min="15363" max="15363" width="9.5" style="76" customWidth="1"/>
    <col min="15364" max="15364" width="10.7583333333333" style="76" customWidth="1"/>
    <col min="15365" max="15365" width="10" style="50" hidden="1" customWidth="1"/>
    <col min="15366" max="15614" width="10" style="76"/>
    <col min="15615" max="15615" width="32.625" style="76" customWidth="1"/>
    <col min="15616" max="15616" width="12.875" style="76" customWidth="1"/>
    <col min="15617" max="15617" width="27.625" style="76" customWidth="1"/>
    <col min="15618" max="15618" width="41.625" style="76" customWidth="1"/>
    <col min="15619" max="15619" width="9.5" style="76" customWidth="1"/>
    <col min="15620" max="15620" width="10.7583333333333" style="76" customWidth="1"/>
    <col min="15621" max="15621" width="10" style="50" hidden="1" customWidth="1"/>
    <col min="15622" max="15870" width="10" style="76"/>
    <col min="15871" max="15871" width="32.625" style="76" customWidth="1"/>
    <col min="15872" max="15872" width="12.875" style="76" customWidth="1"/>
    <col min="15873" max="15873" width="27.625" style="76" customWidth="1"/>
    <col min="15874" max="15874" width="41.625" style="76" customWidth="1"/>
    <col min="15875" max="15875" width="9.5" style="76" customWidth="1"/>
    <col min="15876" max="15876" width="10.7583333333333" style="76" customWidth="1"/>
    <col min="15877" max="15877" width="10" style="50" hidden="1" customWidth="1"/>
    <col min="15878" max="16126" width="10" style="76"/>
    <col min="16127" max="16127" width="32.625" style="76" customWidth="1"/>
    <col min="16128" max="16128" width="12.875" style="76" customWidth="1"/>
    <col min="16129" max="16129" width="27.625" style="76" customWidth="1"/>
    <col min="16130" max="16130" width="41.625" style="76" customWidth="1"/>
    <col min="16131" max="16131" width="9.5" style="76" customWidth="1"/>
    <col min="16132" max="16132" width="10.7583333333333" style="76" customWidth="1"/>
    <col min="16133" max="16133" width="10" style="50" hidden="1" customWidth="1"/>
    <col min="16134" max="16384" width="10" style="76"/>
  </cols>
  <sheetData>
    <row r="1" spans="1:6">
      <c r="A1" s="30" t="s">
        <v>0</v>
      </c>
      <c r="B1" s="83" t="s">
        <v>1</v>
      </c>
      <c r="C1" s="83" t="s">
        <v>2</v>
      </c>
      <c r="D1" s="83" t="s">
        <v>3</v>
      </c>
      <c r="F1" s="83" t="s">
        <v>4</v>
      </c>
    </row>
    <row r="2" s="81" customFormat="1" spans="1:2565">
      <c r="A2" s="81" t="s">
        <v>237</v>
      </c>
      <c r="B2" s="83" t="s">
        <v>238</v>
      </c>
      <c r="C2" s="83" t="s">
        <v>123</v>
      </c>
      <c r="D2" s="83" t="s">
        <v>7</v>
      </c>
      <c r="E2" s="82"/>
      <c r="F2" s="83">
        <v>1</v>
      </c>
      <c r="JA2" s="82"/>
      <c r="SW2" s="82"/>
      <c r="ACS2" s="82"/>
      <c r="AMO2" s="82"/>
      <c r="AWK2" s="82"/>
      <c r="BGG2" s="82"/>
      <c r="BQC2" s="82"/>
      <c r="BZY2" s="82"/>
      <c r="CJU2" s="82"/>
      <c r="CTQ2" s="82"/>
    </row>
    <row r="3" spans="1:6">
      <c r="A3" s="76" t="s">
        <v>237</v>
      </c>
      <c r="B3" s="83" t="s">
        <v>239</v>
      </c>
      <c r="C3" s="83" t="s">
        <v>123</v>
      </c>
      <c r="D3" s="83" t="s">
        <v>7</v>
      </c>
      <c r="F3" s="83">
        <v>1</v>
      </c>
    </row>
    <row r="4" spans="1:6">
      <c r="A4" s="76" t="s">
        <v>237</v>
      </c>
      <c r="B4" s="83" t="s">
        <v>240</v>
      </c>
      <c r="C4" s="83" t="s">
        <v>123</v>
      </c>
      <c r="D4" s="83" t="s">
        <v>7</v>
      </c>
      <c r="F4" s="83">
        <v>1</v>
      </c>
    </row>
    <row r="5" spans="1:6">
      <c r="A5" s="76" t="s">
        <v>237</v>
      </c>
      <c r="B5" s="83" t="s">
        <v>241</v>
      </c>
      <c r="C5" s="83" t="s">
        <v>123</v>
      </c>
      <c r="D5" s="83" t="s">
        <v>7</v>
      </c>
      <c r="F5" s="83">
        <v>1</v>
      </c>
    </row>
    <row r="6" spans="1:6">
      <c r="A6" s="76" t="s">
        <v>237</v>
      </c>
      <c r="B6" s="83" t="s">
        <v>242</v>
      </c>
      <c r="C6" s="83" t="s">
        <v>243</v>
      </c>
      <c r="D6" s="83" t="s">
        <v>7</v>
      </c>
      <c r="F6" s="83">
        <v>1</v>
      </c>
    </row>
    <row r="7" spans="1:6">
      <c r="A7" s="76" t="s">
        <v>237</v>
      </c>
      <c r="B7" s="83" t="s">
        <v>244</v>
      </c>
      <c r="C7" s="83" t="s">
        <v>95</v>
      </c>
      <c r="D7" s="83" t="s">
        <v>7</v>
      </c>
      <c r="F7" s="83">
        <v>1</v>
      </c>
    </row>
    <row r="8" spans="1:6">
      <c r="A8" s="76" t="s">
        <v>237</v>
      </c>
      <c r="B8" s="83" t="s">
        <v>245</v>
      </c>
      <c r="C8" s="83" t="s">
        <v>95</v>
      </c>
      <c r="D8" s="83" t="s">
        <v>7</v>
      </c>
      <c r="F8" s="83">
        <v>1</v>
      </c>
    </row>
    <row r="9" spans="1:6">
      <c r="A9" s="76" t="s">
        <v>237</v>
      </c>
      <c r="B9" s="83" t="s">
        <v>246</v>
      </c>
      <c r="C9" s="83" t="s">
        <v>123</v>
      </c>
      <c r="D9" s="83" t="s">
        <v>7</v>
      </c>
      <c r="F9" s="83">
        <v>1</v>
      </c>
    </row>
    <row r="10" spans="1:6">
      <c r="A10" s="76" t="s">
        <v>237</v>
      </c>
      <c r="B10" s="83" t="s">
        <v>247</v>
      </c>
      <c r="C10" s="83" t="s">
        <v>123</v>
      </c>
      <c r="D10" s="83" t="s">
        <v>7</v>
      </c>
      <c r="F10" s="83">
        <v>1</v>
      </c>
    </row>
    <row r="11" spans="1:6">
      <c r="A11" s="76" t="s">
        <v>237</v>
      </c>
      <c r="B11" s="83" t="s">
        <v>248</v>
      </c>
      <c r="C11" s="83" t="s">
        <v>123</v>
      </c>
      <c r="D11" s="83" t="s">
        <v>7</v>
      </c>
      <c r="F11" s="83">
        <v>1</v>
      </c>
    </row>
    <row r="12" spans="1:6">
      <c r="A12" s="76" t="s">
        <v>237</v>
      </c>
      <c r="B12" s="83" t="s">
        <v>249</v>
      </c>
      <c r="C12" s="83" t="s">
        <v>123</v>
      </c>
      <c r="D12" s="83" t="s">
        <v>7</v>
      </c>
      <c r="F12" s="83">
        <v>1</v>
      </c>
    </row>
    <row r="13" spans="1:6">
      <c r="A13" s="76" t="s">
        <v>237</v>
      </c>
      <c r="B13" s="83" t="s">
        <v>250</v>
      </c>
      <c r="C13" s="83" t="s">
        <v>123</v>
      </c>
      <c r="D13" s="83" t="s">
        <v>7</v>
      </c>
      <c r="F13" s="83">
        <v>1</v>
      </c>
    </row>
    <row r="14" spans="1:6">
      <c r="A14" s="76" t="s">
        <v>237</v>
      </c>
      <c r="B14" s="83" t="s">
        <v>251</v>
      </c>
      <c r="C14" s="83" t="s">
        <v>123</v>
      </c>
      <c r="D14" s="83" t="s">
        <v>7</v>
      </c>
      <c r="F14" s="83">
        <v>1</v>
      </c>
    </row>
    <row r="15" spans="1:6">
      <c r="A15" s="76" t="s">
        <v>237</v>
      </c>
      <c r="B15" s="83" t="s">
        <v>252</v>
      </c>
      <c r="C15" s="83" t="s">
        <v>123</v>
      </c>
      <c r="D15" s="83" t="s">
        <v>7</v>
      </c>
      <c r="F15" s="83">
        <v>1</v>
      </c>
    </row>
    <row r="16" spans="1:6">
      <c r="A16" s="76" t="s">
        <v>237</v>
      </c>
      <c r="B16" s="83" t="s">
        <v>253</v>
      </c>
      <c r="C16" s="83" t="s">
        <v>123</v>
      </c>
      <c r="D16" s="83" t="s">
        <v>7</v>
      </c>
      <c r="F16" s="83">
        <v>1</v>
      </c>
    </row>
    <row r="17" spans="1:6">
      <c r="A17" s="76" t="s">
        <v>237</v>
      </c>
      <c r="B17" s="83" t="s">
        <v>254</v>
      </c>
      <c r="C17" s="83" t="s">
        <v>123</v>
      </c>
      <c r="D17" s="83" t="s">
        <v>7</v>
      </c>
      <c r="F17" s="83">
        <v>1</v>
      </c>
    </row>
    <row r="18" spans="1:6">
      <c r="A18" s="76" t="s">
        <v>237</v>
      </c>
      <c r="B18" s="83" t="s">
        <v>255</v>
      </c>
      <c r="C18" s="83" t="s">
        <v>123</v>
      </c>
      <c r="D18" s="83" t="s">
        <v>7</v>
      </c>
      <c r="F18" s="83">
        <v>1</v>
      </c>
    </row>
    <row r="19" spans="1:6">
      <c r="A19" s="76" t="s">
        <v>237</v>
      </c>
      <c r="B19" s="83" t="s">
        <v>256</v>
      </c>
      <c r="C19" s="83" t="s">
        <v>123</v>
      </c>
      <c r="D19" s="83" t="s">
        <v>7</v>
      </c>
      <c r="F19" s="83">
        <v>1</v>
      </c>
    </row>
    <row r="20" spans="1:6">
      <c r="A20" s="76" t="s">
        <v>237</v>
      </c>
      <c r="B20" s="83" t="s">
        <v>257</v>
      </c>
      <c r="C20" s="83" t="s">
        <v>123</v>
      </c>
      <c r="D20" s="83" t="s">
        <v>7</v>
      </c>
      <c r="F20" s="83">
        <v>1</v>
      </c>
    </row>
    <row r="21" spans="1:6">
      <c r="A21" s="76" t="s">
        <v>237</v>
      </c>
      <c r="B21" s="83" t="s">
        <v>258</v>
      </c>
      <c r="C21" s="83" t="s">
        <v>123</v>
      </c>
      <c r="D21" s="83" t="s">
        <v>7</v>
      </c>
      <c r="F21" s="83">
        <v>1</v>
      </c>
    </row>
    <row r="22" spans="1:6">
      <c r="A22" s="76" t="s">
        <v>237</v>
      </c>
      <c r="B22" s="83" t="s">
        <v>259</v>
      </c>
      <c r="C22" s="83" t="s">
        <v>123</v>
      </c>
      <c r="D22" s="83" t="s">
        <v>7</v>
      </c>
      <c r="F22" s="83">
        <v>1</v>
      </c>
    </row>
    <row r="23" spans="1:6">
      <c r="A23" s="76" t="s">
        <v>237</v>
      </c>
      <c r="B23" s="83" t="s">
        <v>260</v>
      </c>
      <c r="C23" s="83" t="s">
        <v>123</v>
      </c>
      <c r="D23" s="83" t="s">
        <v>7</v>
      </c>
      <c r="F23" s="83">
        <v>1</v>
      </c>
    </row>
    <row r="24" spans="1:6">
      <c r="A24" s="76" t="s">
        <v>237</v>
      </c>
      <c r="B24" s="83" t="s">
        <v>261</v>
      </c>
      <c r="C24" s="83" t="s">
        <v>123</v>
      </c>
      <c r="D24" s="83" t="s">
        <v>7</v>
      </c>
      <c r="F24" s="83">
        <v>1</v>
      </c>
    </row>
    <row r="25" spans="1:6">
      <c r="A25" s="76" t="s">
        <v>237</v>
      </c>
      <c r="B25" s="83" t="s">
        <v>262</v>
      </c>
      <c r="C25" s="83" t="s">
        <v>123</v>
      </c>
      <c r="D25" s="83" t="s">
        <v>7</v>
      </c>
      <c r="F25" s="83">
        <v>1</v>
      </c>
    </row>
    <row r="26" spans="1:6">
      <c r="A26" s="76" t="s">
        <v>237</v>
      </c>
      <c r="B26" s="83" t="s">
        <v>263</v>
      </c>
      <c r="C26" s="83" t="s">
        <v>123</v>
      </c>
      <c r="D26" s="83" t="s">
        <v>7</v>
      </c>
      <c r="F26" s="83">
        <v>1</v>
      </c>
    </row>
    <row r="27" spans="1:6">
      <c r="A27" s="76" t="s">
        <v>237</v>
      </c>
      <c r="B27" s="83" t="s">
        <v>264</v>
      </c>
      <c r="C27" s="83" t="s">
        <v>123</v>
      </c>
      <c r="D27" s="83" t="s">
        <v>7</v>
      </c>
      <c r="F27" s="83">
        <v>1</v>
      </c>
    </row>
    <row r="28" spans="1:6">
      <c r="A28" s="76" t="s">
        <v>237</v>
      </c>
      <c r="B28" s="83" t="s">
        <v>265</v>
      </c>
      <c r="C28" s="83" t="s">
        <v>123</v>
      </c>
      <c r="D28" s="83" t="s">
        <v>7</v>
      </c>
      <c r="F28" s="83">
        <v>1</v>
      </c>
    </row>
    <row r="29" spans="1:6">
      <c r="A29" s="76" t="s">
        <v>237</v>
      </c>
      <c r="B29" s="83" t="s">
        <v>266</v>
      </c>
      <c r="C29" s="83" t="s">
        <v>123</v>
      </c>
      <c r="D29" s="83" t="s">
        <v>7</v>
      </c>
      <c r="F29" s="83">
        <v>1</v>
      </c>
    </row>
    <row r="30" spans="1:6">
      <c r="A30" s="76" t="s">
        <v>237</v>
      </c>
      <c r="B30" s="83" t="s">
        <v>267</v>
      </c>
      <c r="C30" s="83" t="s">
        <v>123</v>
      </c>
      <c r="D30" s="83" t="s">
        <v>7</v>
      </c>
      <c r="F30" s="83">
        <v>1</v>
      </c>
    </row>
    <row r="31" spans="1:6">
      <c r="A31" s="76" t="s">
        <v>237</v>
      </c>
      <c r="B31" s="83" t="s">
        <v>268</v>
      </c>
      <c r="C31" s="83" t="s">
        <v>123</v>
      </c>
      <c r="D31" s="83" t="s">
        <v>7</v>
      </c>
      <c r="F31" s="83">
        <v>1</v>
      </c>
    </row>
    <row r="32" spans="1:6">
      <c r="A32" s="76" t="s">
        <v>237</v>
      </c>
      <c r="B32" s="83" t="s">
        <v>269</v>
      </c>
      <c r="C32" s="83" t="s">
        <v>123</v>
      </c>
      <c r="D32" s="83" t="s">
        <v>7</v>
      </c>
      <c r="F32" s="83">
        <v>1</v>
      </c>
    </row>
    <row r="33" spans="1:6">
      <c r="A33" s="76" t="s">
        <v>237</v>
      </c>
      <c r="B33" s="83" t="s">
        <v>270</v>
      </c>
      <c r="C33" s="83" t="s">
        <v>123</v>
      </c>
      <c r="D33" s="83" t="s">
        <v>7</v>
      </c>
      <c r="F33" s="83">
        <v>1</v>
      </c>
    </row>
    <row r="34" spans="1:6">
      <c r="A34" s="76" t="s">
        <v>237</v>
      </c>
      <c r="B34" s="83" t="s">
        <v>271</v>
      </c>
      <c r="C34" s="83" t="s">
        <v>123</v>
      </c>
      <c r="D34" s="83" t="s">
        <v>7</v>
      </c>
      <c r="F34" s="83">
        <v>1</v>
      </c>
    </row>
    <row r="35" spans="1:6">
      <c r="A35" s="76" t="s">
        <v>237</v>
      </c>
      <c r="B35" s="83" t="s">
        <v>272</v>
      </c>
      <c r="C35" s="83" t="s">
        <v>123</v>
      </c>
      <c r="D35" s="83" t="s">
        <v>7</v>
      </c>
      <c r="F35" s="83">
        <v>1</v>
      </c>
    </row>
    <row r="36" spans="1:6">
      <c r="A36" s="76" t="s">
        <v>237</v>
      </c>
      <c r="B36" s="83" t="s">
        <v>273</v>
      </c>
      <c r="C36" s="83" t="s">
        <v>123</v>
      </c>
      <c r="D36" s="83" t="s">
        <v>7</v>
      </c>
      <c r="F36" s="83">
        <v>1</v>
      </c>
    </row>
    <row r="37" spans="1:6">
      <c r="A37" s="76" t="s">
        <v>237</v>
      </c>
      <c r="B37" s="83" t="s">
        <v>274</v>
      </c>
      <c r="C37" s="83" t="s">
        <v>123</v>
      </c>
      <c r="D37" s="83" t="s">
        <v>7</v>
      </c>
      <c r="F37" s="83">
        <v>1</v>
      </c>
    </row>
    <row r="38" spans="1:6">
      <c r="A38" s="76" t="s">
        <v>237</v>
      </c>
      <c r="B38" s="83" t="s">
        <v>275</v>
      </c>
      <c r="C38" s="83" t="s">
        <v>123</v>
      </c>
      <c r="D38" s="83" t="s">
        <v>7</v>
      </c>
      <c r="F38" s="83">
        <v>1</v>
      </c>
    </row>
    <row r="39" spans="1:6">
      <c r="A39" s="76" t="s">
        <v>237</v>
      </c>
      <c r="B39" s="83" t="s">
        <v>276</v>
      </c>
      <c r="C39" s="83" t="s">
        <v>123</v>
      </c>
      <c r="D39" s="83" t="s">
        <v>7</v>
      </c>
      <c r="F39" s="83">
        <v>1</v>
      </c>
    </row>
    <row r="40" spans="1:6">
      <c r="A40" s="76" t="s">
        <v>237</v>
      </c>
      <c r="B40" s="83" t="s">
        <v>277</v>
      </c>
      <c r="C40" s="83" t="s">
        <v>123</v>
      </c>
      <c r="D40" s="83" t="s">
        <v>7</v>
      </c>
      <c r="F40" s="83">
        <v>1</v>
      </c>
    </row>
    <row r="41" spans="1:6">
      <c r="A41" s="76" t="s">
        <v>237</v>
      </c>
      <c r="B41" s="83" t="s">
        <v>278</v>
      </c>
      <c r="C41" s="83" t="s">
        <v>123</v>
      </c>
      <c r="D41" s="83" t="s">
        <v>7</v>
      </c>
      <c r="F41" s="83">
        <v>1</v>
      </c>
    </row>
    <row r="42" spans="1:6">
      <c r="A42" s="76" t="s">
        <v>237</v>
      </c>
      <c r="B42" s="83" t="s">
        <v>279</v>
      </c>
      <c r="C42" s="83" t="s">
        <v>123</v>
      </c>
      <c r="D42" s="83" t="s">
        <v>7</v>
      </c>
      <c r="F42" s="83">
        <v>1</v>
      </c>
    </row>
    <row r="43" spans="1:6">
      <c r="A43" s="76" t="s">
        <v>237</v>
      </c>
      <c r="B43" s="83" t="s">
        <v>280</v>
      </c>
      <c r="C43" s="83" t="s">
        <v>123</v>
      </c>
      <c r="D43" s="83" t="s">
        <v>7</v>
      </c>
      <c r="F43" s="83">
        <v>1</v>
      </c>
    </row>
    <row r="44" spans="1:6">
      <c r="A44" s="76" t="s">
        <v>237</v>
      </c>
      <c r="B44" s="83" t="s">
        <v>281</v>
      </c>
      <c r="C44" s="83" t="s">
        <v>123</v>
      </c>
      <c r="D44" s="83" t="s">
        <v>7</v>
      </c>
      <c r="F44" s="83">
        <v>1</v>
      </c>
    </row>
    <row r="45" spans="1:6">
      <c r="A45" s="76" t="s">
        <v>237</v>
      </c>
      <c r="B45" s="83" t="s">
        <v>282</v>
      </c>
      <c r="C45" s="83" t="s">
        <v>283</v>
      </c>
      <c r="D45" s="83" t="s">
        <v>7</v>
      </c>
      <c r="F45" s="83">
        <v>1</v>
      </c>
    </row>
    <row r="46" spans="1:6">
      <c r="A46" s="76" t="s">
        <v>237</v>
      </c>
      <c r="B46" s="83" t="s">
        <v>284</v>
      </c>
      <c r="C46" s="83" t="s">
        <v>285</v>
      </c>
      <c r="D46" s="83" t="s">
        <v>7</v>
      </c>
      <c r="F46" s="83">
        <v>1</v>
      </c>
    </row>
    <row r="47" spans="1:6">
      <c r="A47" s="76" t="s">
        <v>237</v>
      </c>
      <c r="B47" s="83" t="str">
        <f>TEXT("20230472",REPT(0,8))</f>
        <v>20230472</v>
      </c>
      <c r="C47" s="83" t="s">
        <v>286</v>
      </c>
      <c r="D47" s="83" t="s">
        <v>7</v>
      </c>
      <c r="F47" s="83">
        <v>1</v>
      </c>
    </row>
    <row r="48" spans="1:6">
      <c r="A48" s="76" t="s">
        <v>237</v>
      </c>
      <c r="B48" s="83" t="str">
        <f>TEXT("20230473",REPT(0,8))</f>
        <v>20230473</v>
      </c>
      <c r="C48" s="83" t="s">
        <v>287</v>
      </c>
      <c r="D48" s="83" t="s">
        <v>7</v>
      </c>
      <c r="F48" s="83">
        <v>1</v>
      </c>
    </row>
    <row r="49" spans="1:6">
      <c r="A49" s="76" t="s">
        <v>237</v>
      </c>
      <c r="B49" s="83" t="str">
        <f>TEXT("20230491",REPT(0,8))</f>
        <v>20230491</v>
      </c>
      <c r="C49" s="83" t="s">
        <v>288</v>
      </c>
      <c r="D49" s="83" t="s">
        <v>7</v>
      </c>
      <c r="F49" s="83">
        <v>1</v>
      </c>
    </row>
    <row r="50" spans="1:6">
      <c r="A50" s="76" t="s">
        <v>237</v>
      </c>
      <c r="B50" s="83" t="str">
        <f>TEXT("20230492",REPT(0,8))</f>
        <v>20230492</v>
      </c>
      <c r="C50" s="83" t="s">
        <v>288</v>
      </c>
      <c r="D50" s="83" t="s">
        <v>7</v>
      </c>
      <c r="F50" s="83">
        <v>1</v>
      </c>
    </row>
    <row r="51" spans="1:6">
      <c r="A51" s="76" t="s">
        <v>237</v>
      </c>
      <c r="B51" s="83" t="str">
        <f>TEXT("20230493",REPT(0,8))</f>
        <v>20230493</v>
      </c>
      <c r="C51" s="83" t="s">
        <v>289</v>
      </c>
      <c r="D51" s="83" t="s">
        <v>7</v>
      </c>
      <c r="F51" s="83">
        <v>1</v>
      </c>
    </row>
    <row r="52" spans="1:6">
      <c r="A52" s="76" t="s">
        <v>237</v>
      </c>
      <c r="B52" s="83" t="str">
        <f>TEXT("20230494",REPT(0,8))</f>
        <v>20230494</v>
      </c>
      <c r="C52" s="83" t="s">
        <v>290</v>
      </c>
      <c r="D52" s="83" t="s">
        <v>7</v>
      </c>
      <c r="F52" s="83">
        <v>1</v>
      </c>
    </row>
    <row r="53" spans="1:6">
      <c r="A53" s="76" t="s">
        <v>237</v>
      </c>
      <c r="B53" s="83" t="str">
        <f>TEXT("20230495",REPT(0,8))</f>
        <v>20230495</v>
      </c>
      <c r="C53" s="83" t="s">
        <v>291</v>
      </c>
      <c r="D53" s="83" t="s">
        <v>7</v>
      </c>
      <c r="F53" s="83">
        <v>1</v>
      </c>
    </row>
    <row r="54" spans="1:6">
      <c r="A54" s="76" t="s">
        <v>237</v>
      </c>
      <c r="B54" s="83" t="str">
        <f>TEXT("20230496",REPT(0,8))</f>
        <v>20230496</v>
      </c>
      <c r="C54" s="83" t="s">
        <v>288</v>
      </c>
      <c r="D54" s="83" t="s">
        <v>7</v>
      </c>
      <c r="F54" s="83">
        <v>1</v>
      </c>
    </row>
    <row r="55" spans="1:6">
      <c r="A55" s="76" t="s">
        <v>237</v>
      </c>
      <c r="B55" s="83" t="str">
        <f>TEXT("20230497",REPT(0,8))</f>
        <v>20230497</v>
      </c>
      <c r="C55" s="83" t="s">
        <v>288</v>
      </c>
      <c r="D55" s="83" t="s">
        <v>7</v>
      </c>
      <c r="F55" s="83">
        <v>1</v>
      </c>
    </row>
    <row r="56" spans="1:6">
      <c r="A56" s="76" t="s">
        <v>237</v>
      </c>
      <c r="B56" s="83" t="str">
        <f>TEXT("20230498",REPT(0,8))</f>
        <v>20230498</v>
      </c>
      <c r="C56" s="83" t="s">
        <v>288</v>
      </c>
      <c r="D56" s="83" t="s">
        <v>7</v>
      </c>
      <c r="F56" s="83">
        <v>1</v>
      </c>
    </row>
    <row r="57" s="50" customFormat="1" spans="1:6">
      <c r="A57" s="76" t="s">
        <v>237</v>
      </c>
      <c r="B57" s="73" t="str">
        <f>TEXT("20120548",REPT(0,8))</f>
        <v>20120548</v>
      </c>
      <c r="C57" s="73" t="s">
        <v>292</v>
      </c>
      <c r="D57" s="72" t="s">
        <v>7</v>
      </c>
      <c r="E57" s="82"/>
      <c r="F57" s="83">
        <v>1</v>
      </c>
    </row>
    <row r="58" s="50" customFormat="1" spans="1:6">
      <c r="A58" s="76" t="s">
        <v>237</v>
      </c>
      <c r="B58" s="73" t="str">
        <f>TEXT("20120523",REPT(0,8))</f>
        <v>20120523</v>
      </c>
      <c r="C58" s="73" t="s">
        <v>293</v>
      </c>
      <c r="D58" s="72" t="s">
        <v>7</v>
      </c>
      <c r="E58" s="82"/>
      <c r="F58" s="83">
        <v>1</v>
      </c>
    </row>
    <row r="59" s="50" customFormat="1" spans="1:6">
      <c r="A59" s="76" t="s">
        <v>237</v>
      </c>
      <c r="B59" s="73" t="str">
        <f>TEXT("20120524",REPT(0,8))</f>
        <v>20120524</v>
      </c>
      <c r="C59" s="73" t="s">
        <v>293</v>
      </c>
      <c r="D59" s="72" t="s">
        <v>7</v>
      </c>
      <c r="E59" s="82"/>
      <c r="F59" s="83">
        <v>1</v>
      </c>
    </row>
    <row r="60" s="50" customFormat="1" spans="1:6">
      <c r="A60" s="76" t="s">
        <v>237</v>
      </c>
      <c r="B60" s="73" t="str">
        <f>TEXT("20120525",REPT(0,8))</f>
        <v>20120525</v>
      </c>
      <c r="C60" s="73" t="s">
        <v>293</v>
      </c>
      <c r="D60" s="72" t="s">
        <v>7</v>
      </c>
      <c r="E60" s="82"/>
      <c r="F60" s="83">
        <v>1</v>
      </c>
    </row>
    <row r="61" s="50" customFormat="1" spans="1:6">
      <c r="A61" s="76" t="s">
        <v>237</v>
      </c>
      <c r="B61" s="73" t="str">
        <f>TEXT("20120526",REPT(0,8))</f>
        <v>20120526</v>
      </c>
      <c r="C61" s="73" t="s">
        <v>293</v>
      </c>
      <c r="D61" s="72" t="s">
        <v>7</v>
      </c>
      <c r="E61" s="82"/>
      <c r="F61" s="83">
        <v>1</v>
      </c>
    </row>
    <row r="62" s="50" customFormat="1" spans="1:6">
      <c r="A62" s="76" t="s">
        <v>237</v>
      </c>
      <c r="B62" s="73" t="str">
        <f>TEXT("20120527",REPT(0,8))</f>
        <v>20120527</v>
      </c>
      <c r="C62" s="73" t="s">
        <v>293</v>
      </c>
      <c r="D62" s="72" t="s">
        <v>7</v>
      </c>
      <c r="E62" s="82"/>
      <c r="F62" s="83">
        <v>1</v>
      </c>
    </row>
    <row r="63" s="50" customFormat="1" spans="1:6">
      <c r="A63" s="76" t="s">
        <v>237</v>
      </c>
      <c r="B63" s="73" t="str">
        <f>TEXT("20120528",REPT(0,8))</f>
        <v>20120528</v>
      </c>
      <c r="C63" s="73" t="s">
        <v>293</v>
      </c>
      <c r="D63" s="72" t="s">
        <v>7</v>
      </c>
      <c r="E63" s="82"/>
      <c r="F63" s="83">
        <v>1</v>
      </c>
    </row>
    <row r="64" s="50" customFormat="1" spans="1:6">
      <c r="A64" s="76" t="s">
        <v>237</v>
      </c>
      <c r="B64" s="73" t="str">
        <f>TEXT("20120529",REPT(0,8))</f>
        <v>20120529</v>
      </c>
      <c r="C64" s="73" t="s">
        <v>293</v>
      </c>
      <c r="D64" s="72" t="s">
        <v>7</v>
      </c>
      <c r="E64" s="82"/>
      <c r="F64" s="83">
        <v>1</v>
      </c>
    </row>
    <row r="65" s="50" customFormat="1" spans="1:6">
      <c r="A65" s="76" t="s">
        <v>237</v>
      </c>
      <c r="B65" s="73" t="str">
        <f>TEXT("20120530",REPT(0,8))</f>
        <v>20120530</v>
      </c>
      <c r="C65" s="73" t="s">
        <v>293</v>
      </c>
      <c r="D65" s="72" t="s">
        <v>7</v>
      </c>
      <c r="E65" s="82"/>
      <c r="F65" s="83">
        <v>1</v>
      </c>
    </row>
    <row r="66" s="50" customFormat="1" spans="1:6">
      <c r="A66" s="76" t="s">
        <v>237</v>
      </c>
      <c r="B66" s="73" t="str">
        <f>TEXT("20120531",REPT(0,8))</f>
        <v>20120531</v>
      </c>
      <c r="C66" s="73" t="s">
        <v>293</v>
      </c>
      <c r="D66" s="72" t="s">
        <v>7</v>
      </c>
      <c r="E66" s="82"/>
      <c r="F66" s="83">
        <v>1</v>
      </c>
    </row>
    <row r="67" s="50" customFormat="1" spans="1:6">
      <c r="A67" s="76" t="s">
        <v>237</v>
      </c>
      <c r="B67" s="73" t="str">
        <f>TEXT("20120532",REPT(0,8))</f>
        <v>20120532</v>
      </c>
      <c r="C67" s="73" t="s">
        <v>293</v>
      </c>
      <c r="D67" s="72" t="s">
        <v>7</v>
      </c>
      <c r="E67" s="82"/>
      <c r="F67" s="83">
        <v>1</v>
      </c>
    </row>
    <row r="68" s="50" customFormat="1" spans="1:6">
      <c r="A68" s="76" t="s">
        <v>237</v>
      </c>
      <c r="B68" s="73" t="str">
        <f>TEXT("20120533",REPT(0,8))</f>
        <v>20120533</v>
      </c>
      <c r="C68" s="73" t="s">
        <v>293</v>
      </c>
      <c r="D68" s="72" t="s">
        <v>7</v>
      </c>
      <c r="E68" s="82"/>
      <c r="F68" s="83">
        <v>1</v>
      </c>
    </row>
    <row r="69" s="50" customFormat="1" spans="1:6">
      <c r="A69" s="76" t="s">
        <v>237</v>
      </c>
      <c r="B69" s="73" t="str">
        <f>TEXT("20120534",REPT(0,8))</f>
        <v>20120534</v>
      </c>
      <c r="C69" s="73" t="s">
        <v>293</v>
      </c>
      <c r="D69" s="72" t="s">
        <v>7</v>
      </c>
      <c r="E69" s="82"/>
      <c r="F69" s="83">
        <v>1</v>
      </c>
    </row>
    <row r="70" s="50" customFormat="1" spans="1:6">
      <c r="A70" s="76" t="s">
        <v>237</v>
      </c>
      <c r="B70" s="73" t="str">
        <f>TEXT("20120535",REPT(0,8))</f>
        <v>20120535</v>
      </c>
      <c r="C70" s="73" t="s">
        <v>293</v>
      </c>
      <c r="D70" s="72" t="s">
        <v>7</v>
      </c>
      <c r="E70" s="82"/>
      <c r="F70" s="83">
        <v>1</v>
      </c>
    </row>
    <row r="71" s="50" customFormat="1" spans="1:6">
      <c r="A71" s="76" t="s">
        <v>237</v>
      </c>
      <c r="B71" s="73" t="str">
        <f>TEXT("20120536",REPT(0,8))</f>
        <v>20120536</v>
      </c>
      <c r="C71" s="73" t="s">
        <v>293</v>
      </c>
      <c r="D71" s="72" t="s">
        <v>7</v>
      </c>
      <c r="E71" s="82"/>
      <c r="F71" s="83">
        <v>1</v>
      </c>
    </row>
    <row r="72" s="50" customFormat="1" spans="1:6">
      <c r="A72" s="76" t="s">
        <v>237</v>
      </c>
      <c r="B72" s="73" t="str">
        <f>TEXT("20120537",REPT(0,8))</f>
        <v>20120537</v>
      </c>
      <c r="C72" s="73" t="s">
        <v>293</v>
      </c>
      <c r="D72" s="72" t="s">
        <v>7</v>
      </c>
      <c r="E72" s="82"/>
      <c r="F72" s="83">
        <v>1</v>
      </c>
    </row>
    <row r="73" s="50" customFormat="1" spans="1:6">
      <c r="A73" s="76" t="s">
        <v>237</v>
      </c>
      <c r="B73" s="73" t="str">
        <f>TEXT("20120538",REPT(0,8))</f>
        <v>20120538</v>
      </c>
      <c r="C73" s="73" t="s">
        <v>293</v>
      </c>
      <c r="D73" s="72" t="s">
        <v>7</v>
      </c>
      <c r="E73" s="82"/>
      <c r="F73" s="83">
        <v>1</v>
      </c>
    </row>
    <row r="74" s="50" customFormat="1" spans="1:6">
      <c r="A74" s="76" t="s">
        <v>237</v>
      </c>
      <c r="B74" s="73" t="str">
        <f>TEXT("20120539",REPT(0,8))</f>
        <v>20120539</v>
      </c>
      <c r="C74" s="73" t="s">
        <v>293</v>
      </c>
      <c r="D74" s="72" t="s">
        <v>7</v>
      </c>
      <c r="E74" s="82"/>
      <c r="F74" s="83">
        <v>1</v>
      </c>
    </row>
    <row r="75" s="50" customFormat="1" spans="1:6">
      <c r="A75" s="76" t="s">
        <v>237</v>
      </c>
      <c r="B75" s="73" t="str">
        <f>TEXT("20120540",REPT(0,8))</f>
        <v>20120540</v>
      </c>
      <c r="C75" s="73" t="s">
        <v>293</v>
      </c>
      <c r="D75" s="72" t="s">
        <v>7</v>
      </c>
      <c r="E75" s="82"/>
      <c r="F75" s="83">
        <v>1</v>
      </c>
    </row>
    <row r="76" s="50" customFormat="1" spans="1:6">
      <c r="A76" s="76" t="s">
        <v>237</v>
      </c>
      <c r="B76" s="73" t="str">
        <f>TEXT("20120541",REPT(0,8))</f>
        <v>20120541</v>
      </c>
      <c r="C76" s="73" t="s">
        <v>293</v>
      </c>
      <c r="D76" s="72" t="s">
        <v>7</v>
      </c>
      <c r="E76" s="82"/>
      <c r="F76" s="83">
        <v>1</v>
      </c>
    </row>
    <row r="77" s="50" customFormat="1" spans="1:6">
      <c r="A77" s="76" t="s">
        <v>237</v>
      </c>
      <c r="B77" s="73" t="str">
        <f>TEXT("20120542",REPT(0,8))</f>
        <v>20120542</v>
      </c>
      <c r="C77" s="73" t="s">
        <v>293</v>
      </c>
      <c r="D77" s="72" t="s">
        <v>7</v>
      </c>
      <c r="E77" s="82"/>
      <c r="F77" s="83">
        <v>1</v>
      </c>
    </row>
    <row r="78" s="50" customFormat="1" spans="1:6">
      <c r="A78" s="76" t="s">
        <v>237</v>
      </c>
      <c r="B78" s="73" t="str">
        <f>TEXT("20120543",REPT(0,8))</f>
        <v>20120543</v>
      </c>
      <c r="C78" s="73" t="s">
        <v>293</v>
      </c>
      <c r="D78" s="72" t="s">
        <v>7</v>
      </c>
      <c r="E78" s="82"/>
      <c r="F78" s="83">
        <v>1</v>
      </c>
    </row>
    <row r="79" s="50" customFormat="1" spans="1:6">
      <c r="A79" s="76" t="s">
        <v>237</v>
      </c>
      <c r="B79" s="73" t="str">
        <f>TEXT("20120544",REPT(0,8))</f>
        <v>20120544</v>
      </c>
      <c r="C79" s="73" t="s">
        <v>293</v>
      </c>
      <c r="D79" s="72" t="s">
        <v>7</v>
      </c>
      <c r="E79" s="82"/>
      <c r="F79" s="83">
        <v>1</v>
      </c>
    </row>
    <row r="80" s="50" customFormat="1" spans="1:6">
      <c r="A80" s="76" t="s">
        <v>237</v>
      </c>
      <c r="B80" s="73" t="str">
        <f>TEXT("20120545",REPT(0,8))</f>
        <v>20120545</v>
      </c>
      <c r="C80" s="73" t="s">
        <v>293</v>
      </c>
      <c r="D80" s="72" t="s">
        <v>7</v>
      </c>
      <c r="E80" s="82"/>
      <c r="F80" s="83">
        <v>1</v>
      </c>
    </row>
    <row r="81" s="50" customFormat="1" spans="1:6">
      <c r="A81" s="76" t="s">
        <v>237</v>
      </c>
      <c r="B81" s="73" t="str">
        <f>TEXT("20120546",REPT(0,8))</f>
        <v>20120546</v>
      </c>
      <c r="C81" s="73" t="s">
        <v>293</v>
      </c>
      <c r="D81" s="72" t="s">
        <v>7</v>
      </c>
      <c r="E81" s="82"/>
      <c r="F81" s="83">
        <v>1</v>
      </c>
    </row>
    <row r="82" s="50" customFormat="1" spans="1:6">
      <c r="A82" s="76" t="s">
        <v>237</v>
      </c>
      <c r="B82" s="73" t="str">
        <f>TEXT("20140073",REPT(0,8))</f>
        <v>20140073</v>
      </c>
      <c r="C82" s="73" t="s">
        <v>294</v>
      </c>
      <c r="D82" s="72" t="s">
        <v>7</v>
      </c>
      <c r="E82" s="82"/>
      <c r="F82" s="83">
        <v>1</v>
      </c>
    </row>
    <row r="83" s="50" customFormat="1" spans="1:6">
      <c r="A83" s="76" t="s">
        <v>237</v>
      </c>
      <c r="B83" s="73" t="str">
        <f>TEXT("20120937",REPT(0,8))</f>
        <v>20120937</v>
      </c>
      <c r="C83" s="73" t="s">
        <v>96</v>
      </c>
      <c r="D83" s="72" t="s">
        <v>7</v>
      </c>
      <c r="E83" s="82"/>
      <c r="F83" s="83">
        <v>1</v>
      </c>
    </row>
    <row r="84" s="50" customFormat="1" spans="1:6">
      <c r="A84" s="76" t="s">
        <v>237</v>
      </c>
      <c r="B84" s="73" t="str">
        <f>TEXT("20120939",REPT(0,8))</f>
        <v>20120939</v>
      </c>
      <c r="C84" s="73" t="s">
        <v>96</v>
      </c>
      <c r="D84" s="72" t="s">
        <v>7</v>
      </c>
      <c r="E84" s="82"/>
      <c r="F84" s="83">
        <v>1</v>
      </c>
    </row>
    <row r="85" spans="1:6">
      <c r="A85" s="76" t="s">
        <v>237</v>
      </c>
      <c r="B85" s="83" t="str">
        <f>TEXT("20230209",REPT(0,8))</f>
        <v>20230209</v>
      </c>
      <c r="C85" s="83" t="s">
        <v>295</v>
      </c>
      <c r="D85" s="83" t="s">
        <v>7</v>
      </c>
      <c r="F85" s="83">
        <v>1</v>
      </c>
    </row>
    <row r="86" spans="1:6">
      <c r="A86" s="76" t="s">
        <v>237</v>
      </c>
      <c r="B86" s="83" t="str">
        <f>TEXT("20230210",REPT(0,8))</f>
        <v>20230210</v>
      </c>
      <c r="C86" s="83" t="s">
        <v>295</v>
      </c>
      <c r="D86" s="83" t="s">
        <v>7</v>
      </c>
      <c r="F86" s="83">
        <v>1</v>
      </c>
    </row>
    <row r="87" spans="1:6">
      <c r="A87" s="76" t="s">
        <v>237</v>
      </c>
      <c r="B87" s="83" t="str">
        <f>TEXT("20230211",REPT(0,8))</f>
        <v>20230211</v>
      </c>
      <c r="C87" s="83" t="s">
        <v>295</v>
      </c>
      <c r="D87" s="83" t="s">
        <v>7</v>
      </c>
      <c r="F87" s="83">
        <v>1</v>
      </c>
    </row>
    <row r="88" spans="1:6">
      <c r="A88" s="76" t="s">
        <v>237</v>
      </c>
      <c r="B88" s="83" t="str">
        <f>TEXT("20230212",REPT(0,8))</f>
        <v>20230212</v>
      </c>
      <c r="C88" s="83" t="s">
        <v>295</v>
      </c>
      <c r="D88" s="83" t="s">
        <v>7</v>
      </c>
      <c r="F88" s="83">
        <v>1</v>
      </c>
    </row>
    <row r="89" spans="1:6">
      <c r="A89" s="76" t="s">
        <v>237</v>
      </c>
      <c r="B89" s="83" t="str">
        <f>TEXT("20230213",REPT(0,8))</f>
        <v>20230213</v>
      </c>
      <c r="C89" s="83" t="s">
        <v>295</v>
      </c>
      <c r="D89" s="83" t="s">
        <v>7</v>
      </c>
      <c r="F89" s="83">
        <v>1</v>
      </c>
    </row>
    <row r="90" spans="1:6">
      <c r="A90" s="76" t="s">
        <v>237</v>
      </c>
      <c r="B90" s="83" t="str">
        <f>TEXT("20230214",REPT(0,8))</f>
        <v>20230214</v>
      </c>
      <c r="C90" s="83" t="s">
        <v>295</v>
      </c>
      <c r="D90" s="83" t="s">
        <v>7</v>
      </c>
      <c r="F90" s="83">
        <v>1</v>
      </c>
    </row>
    <row r="91" spans="1:6">
      <c r="A91" s="76" t="s">
        <v>237</v>
      </c>
      <c r="B91" s="83" t="str">
        <f>TEXT("20230215",REPT(0,8))</f>
        <v>20230215</v>
      </c>
      <c r="C91" s="83" t="s">
        <v>295</v>
      </c>
      <c r="D91" s="83" t="s">
        <v>7</v>
      </c>
      <c r="F91" s="83">
        <v>1</v>
      </c>
    </row>
    <row r="92" spans="1:6">
      <c r="A92" s="76" t="s">
        <v>237</v>
      </c>
      <c r="B92" s="83" t="str">
        <f>TEXT("20230216",REPT(0,8))</f>
        <v>20230216</v>
      </c>
      <c r="C92" s="83" t="s">
        <v>295</v>
      </c>
      <c r="D92" s="83" t="s">
        <v>7</v>
      </c>
      <c r="F92" s="83">
        <v>1</v>
      </c>
    </row>
    <row r="93" spans="1:6">
      <c r="A93" s="76" t="s">
        <v>237</v>
      </c>
      <c r="B93" s="83" t="str">
        <f>TEXT("20130429",REPT(0,8))</f>
        <v>20130429</v>
      </c>
      <c r="C93" s="83" t="s">
        <v>96</v>
      </c>
      <c r="D93" s="83" t="s">
        <v>7</v>
      </c>
      <c r="F93" s="83">
        <v>1</v>
      </c>
    </row>
    <row r="94" spans="1:6">
      <c r="A94" s="76" t="s">
        <v>237</v>
      </c>
      <c r="B94" s="83" t="str">
        <f>TEXT("20130433",REPT(0,8))</f>
        <v>20130433</v>
      </c>
      <c r="C94" s="83" t="s">
        <v>96</v>
      </c>
      <c r="D94" s="83" t="s">
        <v>7</v>
      </c>
      <c r="F94" s="83">
        <v>1</v>
      </c>
    </row>
    <row r="95" spans="1:6">
      <c r="A95" s="76" t="s">
        <v>237</v>
      </c>
      <c r="B95" s="83" t="str">
        <f>TEXT("20130439",REPT(0,8))</f>
        <v>20130439</v>
      </c>
      <c r="C95" s="83" t="s">
        <v>96</v>
      </c>
      <c r="D95" s="83" t="s">
        <v>7</v>
      </c>
      <c r="F95" s="83">
        <v>1</v>
      </c>
    </row>
    <row r="96" spans="1:6">
      <c r="A96" s="76" t="s">
        <v>237</v>
      </c>
      <c r="B96" s="83" t="str">
        <f>TEXT("20130443",REPT(0,8))</f>
        <v>20130443</v>
      </c>
      <c r="C96" s="83" t="s">
        <v>96</v>
      </c>
      <c r="D96" s="83" t="s">
        <v>7</v>
      </c>
      <c r="F96" s="83">
        <v>1</v>
      </c>
    </row>
    <row r="97" spans="1:6">
      <c r="A97" s="76" t="s">
        <v>237</v>
      </c>
      <c r="B97" s="83" t="str">
        <f>TEXT("20130354",REPT(0,8))</f>
        <v>20130354</v>
      </c>
      <c r="C97" s="83" t="s">
        <v>96</v>
      </c>
      <c r="D97" s="83" t="s">
        <v>7</v>
      </c>
      <c r="F97" s="83">
        <v>1</v>
      </c>
    </row>
    <row r="98" spans="1:6">
      <c r="A98" s="76" t="s">
        <v>237</v>
      </c>
      <c r="B98" s="83" t="str">
        <f>TEXT("20130410",REPT(0,8))</f>
        <v>20130410</v>
      </c>
      <c r="C98" s="83" t="s">
        <v>96</v>
      </c>
      <c r="D98" s="83" t="s">
        <v>7</v>
      </c>
      <c r="F98" s="83">
        <v>1</v>
      </c>
    </row>
    <row r="99" spans="1:6">
      <c r="A99" s="76" t="s">
        <v>237</v>
      </c>
      <c r="B99" s="83" t="str">
        <f>TEXT("20130414",REPT(0,8))</f>
        <v>20130414</v>
      </c>
      <c r="C99" s="83" t="s">
        <v>96</v>
      </c>
      <c r="D99" s="83" t="s">
        <v>7</v>
      </c>
      <c r="F99" s="83">
        <v>1</v>
      </c>
    </row>
    <row r="100" spans="1:6">
      <c r="A100" s="76" t="s">
        <v>237</v>
      </c>
      <c r="B100" s="83" t="str">
        <f>TEXT("20130416",REPT(0,8))</f>
        <v>20130416</v>
      </c>
      <c r="C100" s="83" t="s">
        <v>96</v>
      </c>
      <c r="D100" s="83" t="s">
        <v>7</v>
      </c>
      <c r="F100" s="83">
        <v>1</v>
      </c>
    </row>
    <row r="101" spans="1:6">
      <c r="A101" s="76" t="s">
        <v>237</v>
      </c>
      <c r="B101" s="83" t="str">
        <f>TEXT("20130420",REPT(0,8))</f>
        <v>20130420</v>
      </c>
      <c r="C101" s="83" t="s">
        <v>96</v>
      </c>
      <c r="D101" s="83" t="s">
        <v>7</v>
      </c>
      <c r="F101" s="83">
        <v>1</v>
      </c>
    </row>
    <row r="102" spans="1:6">
      <c r="A102" s="76" t="s">
        <v>237</v>
      </c>
      <c r="B102" s="83" t="str">
        <f>TEXT("20230483",REPT(0,8))</f>
        <v>20230483</v>
      </c>
      <c r="C102" s="83" t="s">
        <v>296</v>
      </c>
      <c r="D102" s="83" t="s">
        <v>7</v>
      </c>
      <c r="E102" s="82">
        <v>15123</v>
      </c>
      <c r="F102" s="83">
        <v>1</v>
      </c>
    </row>
    <row r="103" spans="1:6">
      <c r="A103" s="76" t="s">
        <v>237</v>
      </c>
      <c r="B103" s="83" t="str">
        <f>TEXT("20230484",REPT(0,8))</f>
        <v>20230484</v>
      </c>
      <c r="C103" s="83" t="s">
        <v>296</v>
      </c>
      <c r="D103" s="83" t="s">
        <v>7</v>
      </c>
      <c r="E103" s="82">
        <v>15123</v>
      </c>
      <c r="F103" s="83">
        <v>1</v>
      </c>
    </row>
    <row r="104" spans="1:6">
      <c r="A104" s="76" t="s">
        <v>237</v>
      </c>
      <c r="B104" s="83" t="str">
        <f>TEXT("20230488",REPT(0,8))</f>
        <v>20230488</v>
      </c>
      <c r="C104" s="83" t="s">
        <v>296</v>
      </c>
      <c r="D104" s="83" t="s">
        <v>7</v>
      </c>
      <c r="E104" s="82">
        <v>15123</v>
      </c>
      <c r="F104" s="83">
        <v>1</v>
      </c>
    </row>
    <row r="105" spans="1:6">
      <c r="A105" s="76" t="s">
        <v>237</v>
      </c>
      <c r="B105" s="83" t="str">
        <f>TEXT("20230489",REPT(0,8))</f>
        <v>20230489</v>
      </c>
      <c r="C105" s="83" t="s">
        <v>296</v>
      </c>
      <c r="D105" s="83" t="s">
        <v>7</v>
      </c>
      <c r="E105" s="82" t="s">
        <v>297</v>
      </c>
      <c r="F105" s="83">
        <v>1</v>
      </c>
    </row>
    <row r="106" spans="1:6">
      <c r="A106" s="76" t="s">
        <v>237</v>
      </c>
      <c r="B106" s="83" t="str">
        <f>TEXT("20230490",REPT(0,8))</f>
        <v>20230490</v>
      </c>
      <c r="C106" s="83" t="s">
        <v>296</v>
      </c>
      <c r="D106" s="83" t="s">
        <v>7</v>
      </c>
      <c r="E106" s="82" t="s">
        <v>298</v>
      </c>
      <c r="F106" s="83">
        <v>1</v>
      </c>
    </row>
    <row r="107" spans="1:6">
      <c r="A107" s="76" t="s">
        <v>237</v>
      </c>
      <c r="B107" s="83" t="str">
        <f>TEXT("20120951",REPT(0,8))</f>
        <v>20120951</v>
      </c>
      <c r="C107" s="83" t="s">
        <v>299</v>
      </c>
      <c r="D107" s="83" t="s">
        <v>7</v>
      </c>
      <c r="F107" s="83">
        <v>1</v>
      </c>
    </row>
    <row r="108" spans="1:6">
      <c r="A108" s="76" t="s">
        <v>237</v>
      </c>
      <c r="B108" s="83" t="str">
        <f>TEXT("20120952",REPT(0,8))</f>
        <v>20120952</v>
      </c>
      <c r="C108" s="83" t="s">
        <v>300</v>
      </c>
      <c r="D108" s="83" t="s">
        <v>7</v>
      </c>
      <c r="F108" s="83">
        <v>1</v>
      </c>
    </row>
    <row r="109" spans="1:6">
      <c r="A109" s="76" t="s">
        <v>237</v>
      </c>
      <c r="B109" s="83" t="str">
        <f>TEXT("20120953",REPT(0,8))</f>
        <v>20120953</v>
      </c>
      <c r="C109" s="83" t="s">
        <v>301</v>
      </c>
      <c r="D109" s="83" t="s">
        <v>7</v>
      </c>
      <c r="F109" s="83">
        <v>1</v>
      </c>
    </row>
    <row r="110" spans="1:6">
      <c r="A110" s="76" t="s">
        <v>237</v>
      </c>
      <c r="B110" s="83" t="str">
        <f>TEXT("20120954",REPT(0,8))</f>
        <v>20120954</v>
      </c>
      <c r="C110" s="83" t="s">
        <v>302</v>
      </c>
      <c r="D110" s="83" t="s">
        <v>7</v>
      </c>
      <c r="F110" s="83">
        <v>1</v>
      </c>
    </row>
    <row r="111" spans="1:6">
      <c r="A111" s="76" t="s">
        <v>237</v>
      </c>
      <c r="B111" s="83" t="str">
        <f>TEXT("20120955",REPT(0,8))</f>
        <v>20120955</v>
      </c>
      <c r="C111" s="83" t="s">
        <v>303</v>
      </c>
      <c r="D111" s="83" t="s">
        <v>7</v>
      </c>
      <c r="F111" s="83">
        <v>1</v>
      </c>
    </row>
    <row r="112" s="50" customFormat="1" spans="1:6">
      <c r="A112" s="76" t="s">
        <v>237</v>
      </c>
      <c r="B112" s="73" t="str">
        <f>TEXT("20120956",REPT(0,8))</f>
        <v>20120956</v>
      </c>
      <c r="C112" s="73" t="s">
        <v>304</v>
      </c>
      <c r="D112" s="72" t="s">
        <v>7</v>
      </c>
      <c r="E112" s="82"/>
      <c r="F112" s="83">
        <v>1</v>
      </c>
    </row>
    <row r="113" spans="1:6">
      <c r="A113" s="76" t="s">
        <v>237</v>
      </c>
      <c r="B113" s="83" t="str">
        <f>TEXT("20220364",REPT(0,8))</f>
        <v>20220364</v>
      </c>
      <c r="C113" s="83" t="s">
        <v>305</v>
      </c>
      <c r="D113" s="83" t="s">
        <v>7</v>
      </c>
      <c r="F113" s="83">
        <v>1</v>
      </c>
    </row>
    <row r="114" spans="1:6">
      <c r="A114" s="76" t="s">
        <v>237</v>
      </c>
      <c r="B114" s="83" t="str">
        <f>TEXT("20221376",REPT(0,8))</f>
        <v>20221376</v>
      </c>
      <c r="C114" s="83" t="s">
        <v>306</v>
      </c>
      <c r="D114" s="83" t="s">
        <v>7</v>
      </c>
      <c r="F114" s="83">
        <v>1</v>
      </c>
    </row>
    <row r="115" spans="1:6">
      <c r="A115" s="76" t="s">
        <v>237</v>
      </c>
      <c r="B115" s="83" t="str">
        <f>TEXT("20230485",REPT(0,8))</f>
        <v>20230485</v>
      </c>
      <c r="C115" s="83" t="s">
        <v>296</v>
      </c>
      <c r="D115" s="83" t="s">
        <v>7</v>
      </c>
      <c r="E115" s="84" t="s">
        <v>307</v>
      </c>
      <c r="F115" s="83">
        <v>1</v>
      </c>
    </row>
    <row r="116" spans="1:6">
      <c r="A116" s="76" t="s">
        <v>237</v>
      </c>
      <c r="B116" s="83" t="str">
        <f>TEXT("20230486",REPT(0,8))</f>
        <v>20230486</v>
      </c>
      <c r="C116" s="83" t="s">
        <v>296</v>
      </c>
      <c r="D116" s="83" t="s">
        <v>7</v>
      </c>
      <c r="E116" s="84" t="s">
        <v>307</v>
      </c>
      <c r="F116" s="83">
        <v>1</v>
      </c>
    </row>
    <row r="117" spans="1:6">
      <c r="A117" s="76" t="s">
        <v>237</v>
      </c>
      <c r="B117" s="83" t="str">
        <f>TEXT("20230487",REPT(0,8))</f>
        <v>20230487</v>
      </c>
      <c r="C117" s="83" t="s">
        <v>296</v>
      </c>
      <c r="D117" s="83" t="s">
        <v>7</v>
      </c>
      <c r="E117" s="84" t="s">
        <v>307</v>
      </c>
      <c r="F117" s="83">
        <v>1</v>
      </c>
    </row>
    <row r="118" spans="1:6">
      <c r="A118" s="76" t="s">
        <v>237</v>
      </c>
      <c r="B118" s="83" t="str">
        <f>TEXT("20230505",REPT(0,8))</f>
        <v>20230505</v>
      </c>
      <c r="C118" s="83" t="s">
        <v>296</v>
      </c>
      <c r="D118" s="83" t="s">
        <v>7</v>
      </c>
      <c r="E118" s="84" t="s">
        <v>307</v>
      </c>
      <c r="F118" s="83">
        <v>1</v>
      </c>
    </row>
    <row r="119" s="50" customFormat="1" spans="1:6">
      <c r="A119" s="76" t="s">
        <v>237</v>
      </c>
      <c r="B119" s="73" t="str">
        <f>TEXT("20120547",REPT(0,8))</f>
        <v>20120547</v>
      </c>
      <c r="C119" s="73" t="s">
        <v>308</v>
      </c>
      <c r="D119" s="72" t="s">
        <v>7</v>
      </c>
      <c r="E119" s="82"/>
      <c r="F119" s="83">
        <v>1</v>
      </c>
    </row>
    <row r="120" s="50" customFormat="1" spans="1:6">
      <c r="A120" s="76" t="s">
        <v>237</v>
      </c>
      <c r="B120" s="73" t="str">
        <f>TEXT("20120982",REPT(0,8))</f>
        <v>20120982</v>
      </c>
      <c r="C120" s="73" t="s">
        <v>309</v>
      </c>
      <c r="D120" s="72" t="s">
        <v>7</v>
      </c>
      <c r="E120" s="82"/>
      <c r="F120" s="83">
        <v>1</v>
      </c>
    </row>
    <row r="121" spans="1:6">
      <c r="A121" s="76" t="s">
        <v>237</v>
      </c>
      <c r="B121" s="83" t="str">
        <f>TEXT("20120697",REPT(0,8))</f>
        <v>20120697</v>
      </c>
      <c r="C121" s="83" t="s">
        <v>310</v>
      </c>
      <c r="D121" s="83" t="s">
        <v>7</v>
      </c>
      <c r="F121" s="83">
        <v>1</v>
      </c>
    </row>
    <row r="122" spans="1:6">
      <c r="A122" s="76" t="s">
        <v>237</v>
      </c>
      <c r="B122" s="83" t="str">
        <f>TEXT("20120698",REPT(0,8))</f>
        <v>20120698</v>
      </c>
      <c r="C122" s="83" t="s">
        <v>310</v>
      </c>
      <c r="D122" s="83" t="s">
        <v>7</v>
      </c>
      <c r="F122" s="83">
        <v>1</v>
      </c>
    </row>
    <row r="123" spans="1:6">
      <c r="A123" s="76" t="s">
        <v>237</v>
      </c>
      <c r="B123" s="83" t="str">
        <f>TEXT("20120699",REPT(0,8))</f>
        <v>20120699</v>
      </c>
      <c r="C123" s="83" t="s">
        <v>310</v>
      </c>
      <c r="D123" s="83" t="s">
        <v>7</v>
      </c>
      <c r="F123" s="83">
        <v>1</v>
      </c>
    </row>
    <row r="124" spans="1:6">
      <c r="A124" s="76" t="s">
        <v>237</v>
      </c>
      <c r="B124" s="83" t="str">
        <f>TEXT("20120700",REPT(0,8))</f>
        <v>20120700</v>
      </c>
      <c r="C124" s="83" t="s">
        <v>310</v>
      </c>
      <c r="D124" s="83" t="s">
        <v>7</v>
      </c>
      <c r="F124" s="83">
        <v>1</v>
      </c>
    </row>
    <row r="125" spans="1:6">
      <c r="A125" s="76" t="s">
        <v>237</v>
      </c>
      <c r="B125" s="83" t="str">
        <f>TEXT("20120975",REPT(0,8))</f>
        <v>20120975</v>
      </c>
      <c r="C125" s="83" t="s">
        <v>311</v>
      </c>
      <c r="D125" s="83" t="s">
        <v>7</v>
      </c>
      <c r="F125" s="83">
        <v>1</v>
      </c>
    </row>
    <row r="126" spans="1:6">
      <c r="A126" s="76" t="s">
        <v>237</v>
      </c>
      <c r="B126" s="83" t="str">
        <f>TEXT("20120976",REPT(0,8))</f>
        <v>20120976</v>
      </c>
      <c r="C126" s="83" t="s">
        <v>311</v>
      </c>
      <c r="D126" s="83" t="s">
        <v>7</v>
      </c>
      <c r="F126" s="83">
        <v>1</v>
      </c>
    </row>
    <row r="127" spans="1:6">
      <c r="A127" s="76" t="s">
        <v>237</v>
      </c>
      <c r="B127" s="83" t="str">
        <f>TEXT("20120977",REPT(0,8))</f>
        <v>20120977</v>
      </c>
      <c r="C127" s="83" t="s">
        <v>312</v>
      </c>
      <c r="D127" s="83" t="s">
        <v>7</v>
      </c>
      <c r="F127" s="83">
        <v>1</v>
      </c>
    </row>
    <row r="128" spans="1:6">
      <c r="A128" s="76" t="s">
        <v>237</v>
      </c>
      <c r="B128" s="83" t="str">
        <f>TEXT("20120978",REPT(0,8))</f>
        <v>20120978</v>
      </c>
      <c r="C128" s="83" t="s">
        <v>312</v>
      </c>
      <c r="D128" s="83" t="s">
        <v>7</v>
      </c>
      <c r="F128" s="83">
        <v>1</v>
      </c>
    </row>
    <row r="129" spans="1:6">
      <c r="A129" s="76" t="s">
        <v>237</v>
      </c>
      <c r="B129" s="83" t="str">
        <f>TEXT("20120980",REPT(0,8))</f>
        <v>20120980</v>
      </c>
      <c r="C129" s="83" t="s">
        <v>313</v>
      </c>
      <c r="D129" s="83" t="s">
        <v>7</v>
      </c>
      <c r="F129" s="83">
        <v>1</v>
      </c>
    </row>
    <row r="130" spans="1:6">
      <c r="A130" s="76" t="s">
        <v>237</v>
      </c>
      <c r="B130" s="83" t="str">
        <f>TEXT("20120981",REPT(0,8))</f>
        <v>20120981</v>
      </c>
      <c r="C130" s="83" t="s">
        <v>314</v>
      </c>
      <c r="D130" s="83" t="s">
        <v>7</v>
      </c>
      <c r="F130" s="83">
        <v>1</v>
      </c>
    </row>
    <row r="131" spans="1:6">
      <c r="A131" s="76" t="s">
        <v>237</v>
      </c>
      <c r="B131" s="83" t="str">
        <f>TEXT("20161207",REPT(0,8))</f>
        <v>20161207</v>
      </c>
      <c r="C131" s="83" t="s">
        <v>315</v>
      </c>
      <c r="D131" s="83" t="s">
        <v>7</v>
      </c>
      <c r="F131" s="83">
        <v>1</v>
      </c>
    </row>
    <row r="132" spans="1:6">
      <c r="A132" s="76" t="s">
        <v>237</v>
      </c>
      <c r="B132" s="83" t="str">
        <f>TEXT("20161208",REPT(0,8))</f>
        <v>20161208</v>
      </c>
      <c r="C132" s="83" t="s">
        <v>315</v>
      </c>
      <c r="D132" s="83" t="s">
        <v>7</v>
      </c>
      <c r="F132" s="83">
        <v>1</v>
      </c>
    </row>
    <row r="133" spans="1:6">
      <c r="A133" s="76" t="s">
        <v>237</v>
      </c>
      <c r="B133" s="83" t="str">
        <f>TEXT("20110229",REPT(0,8))</f>
        <v>20110229</v>
      </c>
      <c r="C133" s="83" t="s">
        <v>316</v>
      </c>
      <c r="D133" s="83" t="s">
        <v>7</v>
      </c>
      <c r="F133" s="83">
        <v>1</v>
      </c>
    </row>
    <row r="134" spans="1:6">
      <c r="A134" s="76" t="s">
        <v>237</v>
      </c>
      <c r="B134" s="83" t="str">
        <f>TEXT("20110230",REPT(0,8))</f>
        <v>20110230</v>
      </c>
      <c r="C134" s="83" t="s">
        <v>316</v>
      </c>
      <c r="D134" s="83" t="s">
        <v>7</v>
      </c>
      <c r="F134" s="83">
        <v>1</v>
      </c>
    </row>
    <row r="135" spans="1:6">
      <c r="A135" s="76" t="s">
        <v>237</v>
      </c>
      <c r="B135" s="83" t="str">
        <f>TEXT("20110231",REPT(0,8))</f>
        <v>20110231</v>
      </c>
      <c r="C135" s="83" t="s">
        <v>316</v>
      </c>
      <c r="D135" s="83" t="s">
        <v>7</v>
      </c>
      <c r="F135" s="83">
        <v>1</v>
      </c>
    </row>
    <row r="136" spans="1:6">
      <c r="A136" s="76" t="s">
        <v>237</v>
      </c>
      <c r="B136" s="83" t="str">
        <f>TEXT("20110232",REPT(0,8))</f>
        <v>20110232</v>
      </c>
      <c r="C136" s="83" t="s">
        <v>316</v>
      </c>
      <c r="D136" s="83" t="s">
        <v>7</v>
      </c>
      <c r="F136" s="83">
        <v>1</v>
      </c>
    </row>
    <row r="137" spans="1:6">
      <c r="A137" s="76" t="s">
        <v>237</v>
      </c>
      <c r="B137" s="83" t="str">
        <f>TEXT("20110233",REPT(0,8))</f>
        <v>20110233</v>
      </c>
      <c r="C137" s="83" t="s">
        <v>316</v>
      </c>
      <c r="D137" s="83" t="s">
        <v>7</v>
      </c>
      <c r="F137" s="83">
        <v>1</v>
      </c>
    </row>
    <row r="138" spans="1:6">
      <c r="A138" s="76" t="s">
        <v>237</v>
      </c>
      <c r="B138" s="83" t="str">
        <f>TEXT("20110234",REPT(0,8))</f>
        <v>20110234</v>
      </c>
      <c r="C138" s="83" t="s">
        <v>316</v>
      </c>
      <c r="D138" s="83" t="s">
        <v>7</v>
      </c>
      <c r="F138" s="83">
        <v>1</v>
      </c>
    </row>
    <row r="139" spans="1:6">
      <c r="A139" s="76" t="s">
        <v>237</v>
      </c>
      <c r="B139" s="83" t="str">
        <f>TEXT("20110235",REPT(0,8))</f>
        <v>20110235</v>
      </c>
      <c r="C139" s="83" t="s">
        <v>316</v>
      </c>
      <c r="D139" s="83" t="s">
        <v>7</v>
      </c>
      <c r="F139" s="83">
        <v>1</v>
      </c>
    </row>
    <row r="140" spans="1:6">
      <c r="A140" s="76" t="s">
        <v>237</v>
      </c>
      <c r="B140" s="83" t="str">
        <f>TEXT("20110236",REPT(0,8))</f>
        <v>20110236</v>
      </c>
      <c r="C140" s="83" t="s">
        <v>316</v>
      </c>
      <c r="D140" s="83" t="s">
        <v>7</v>
      </c>
      <c r="F140" s="83">
        <v>1</v>
      </c>
    </row>
    <row r="141" spans="1:6">
      <c r="A141" s="76" t="s">
        <v>237</v>
      </c>
      <c r="B141" s="83" t="str">
        <f>TEXT("20120974",REPT(0,8))</f>
        <v>20120974</v>
      </c>
      <c r="C141" s="83" t="s">
        <v>317</v>
      </c>
      <c r="D141" s="83" t="s">
        <v>7</v>
      </c>
      <c r="F141" s="83">
        <v>1</v>
      </c>
    </row>
    <row r="142" spans="1:6">
      <c r="A142" s="76" t="s">
        <v>237</v>
      </c>
      <c r="B142" s="83" t="s">
        <v>318</v>
      </c>
      <c r="C142" s="83" t="s">
        <v>319</v>
      </c>
      <c r="D142" s="83" t="s">
        <v>7</v>
      </c>
      <c r="F142" s="83">
        <v>1</v>
      </c>
    </row>
    <row r="143" spans="1:6">
      <c r="A143" s="76" t="s">
        <v>237</v>
      </c>
      <c r="B143" s="83" t="s">
        <v>320</v>
      </c>
      <c r="C143" s="83" t="s">
        <v>319</v>
      </c>
      <c r="D143" s="83" t="s">
        <v>7</v>
      </c>
      <c r="F143" s="83">
        <v>1</v>
      </c>
    </row>
    <row r="144" spans="1:6">
      <c r="A144" s="76" t="s">
        <v>237</v>
      </c>
      <c r="B144" s="83" t="s">
        <v>321</v>
      </c>
      <c r="C144" s="83" t="s">
        <v>319</v>
      </c>
      <c r="D144" s="83" t="s">
        <v>7</v>
      </c>
      <c r="F144" s="83">
        <v>1</v>
      </c>
    </row>
    <row r="145" spans="1:6">
      <c r="A145" s="76" t="s">
        <v>237</v>
      </c>
      <c r="B145" s="83" t="s">
        <v>322</v>
      </c>
      <c r="C145" s="83" t="s">
        <v>319</v>
      </c>
      <c r="D145" s="83" t="s">
        <v>7</v>
      </c>
      <c r="F145" s="83">
        <v>1</v>
      </c>
    </row>
    <row r="146" spans="1:6">
      <c r="A146" s="76" t="s">
        <v>237</v>
      </c>
      <c r="B146" s="83" t="s">
        <v>323</v>
      </c>
      <c r="C146" s="83" t="s">
        <v>319</v>
      </c>
      <c r="D146" s="83" t="s">
        <v>7</v>
      </c>
      <c r="F146" s="83">
        <v>1</v>
      </c>
    </row>
    <row r="147" spans="1:6">
      <c r="A147" s="76" t="s">
        <v>237</v>
      </c>
      <c r="B147" s="83" t="s">
        <v>324</v>
      </c>
      <c r="C147" s="83" t="s">
        <v>319</v>
      </c>
      <c r="D147" s="83" t="s">
        <v>7</v>
      </c>
      <c r="F147" s="83">
        <v>1</v>
      </c>
    </row>
    <row r="148" spans="1:6">
      <c r="A148" s="76" t="s">
        <v>237</v>
      </c>
      <c r="B148" s="83" t="s">
        <v>325</v>
      </c>
      <c r="C148" s="83" t="s">
        <v>319</v>
      </c>
      <c r="D148" s="83" t="s">
        <v>7</v>
      </c>
      <c r="F148" s="83">
        <v>1</v>
      </c>
    </row>
    <row r="149" spans="1:6">
      <c r="A149" s="76" t="s">
        <v>237</v>
      </c>
      <c r="B149" s="83" t="s">
        <v>326</v>
      </c>
      <c r="C149" s="83" t="s">
        <v>319</v>
      </c>
      <c r="D149" s="83" t="s">
        <v>7</v>
      </c>
      <c r="F149" s="83">
        <v>1</v>
      </c>
    </row>
    <row r="150" spans="1:6">
      <c r="A150" s="76" t="s">
        <v>237</v>
      </c>
      <c r="B150" s="83" t="s">
        <v>327</v>
      </c>
      <c r="C150" s="83" t="s">
        <v>328</v>
      </c>
      <c r="D150" s="83" t="s">
        <v>7</v>
      </c>
      <c r="F150" s="83">
        <v>1</v>
      </c>
    </row>
    <row r="151" spans="1:6">
      <c r="A151" s="76" t="s">
        <v>237</v>
      </c>
      <c r="B151" s="83" t="s">
        <v>329</v>
      </c>
      <c r="C151" s="83" t="s">
        <v>328</v>
      </c>
      <c r="D151" s="83" t="s">
        <v>7</v>
      </c>
      <c r="F151" s="83">
        <v>1</v>
      </c>
    </row>
    <row r="152" s="50" customFormat="1" spans="1:6">
      <c r="A152" s="76" t="s">
        <v>237</v>
      </c>
      <c r="B152" s="73" t="str">
        <f>TEXT("20120211",REPT(0,8))</f>
        <v>20120211</v>
      </c>
      <c r="C152" s="73" t="s">
        <v>96</v>
      </c>
      <c r="D152" s="72" t="s">
        <v>7</v>
      </c>
      <c r="E152" s="82"/>
      <c r="F152" s="83">
        <v>1</v>
      </c>
    </row>
    <row r="153" s="50" customFormat="1" spans="1:6">
      <c r="A153" s="76" t="s">
        <v>237</v>
      </c>
      <c r="B153" s="73" t="str">
        <f>TEXT("20160741",REPT(0,8))</f>
        <v>20160741</v>
      </c>
      <c r="C153" s="73" t="s">
        <v>96</v>
      </c>
      <c r="D153" s="72" t="s">
        <v>7</v>
      </c>
      <c r="E153" s="82"/>
      <c r="F153" s="83">
        <v>1</v>
      </c>
    </row>
    <row r="154" s="50" customFormat="1" spans="1:6">
      <c r="A154" s="76" t="s">
        <v>237</v>
      </c>
      <c r="B154" s="73" t="str">
        <f>TEXT("20160742",REPT(0,8))</f>
        <v>20160742</v>
      </c>
      <c r="C154" s="73" t="s">
        <v>96</v>
      </c>
      <c r="D154" s="72" t="s">
        <v>7</v>
      </c>
      <c r="E154" s="82"/>
      <c r="F154" s="83">
        <v>1</v>
      </c>
    </row>
    <row r="155" s="50" customFormat="1" spans="1:6">
      <c r="A155" s="76" t="s">
        <v>237</v>
      </c>
      <c r="B155" s="73" t="str">
        <f>TEXT("20160743",REPT(0,8))</f>
        <v>20160743</v>
      </c>
      <c r="C155" s="73" t="s">
        <v>96</v>
      </c>
      <c r="D155" s="72" t="s">
        <v>7</v>
      </c>
      <c r="E155" s="82"/>
      <c r="F155" s="83">
        <v>1</v>
      </c>
    </row>
    <row r="156" s="50" customFormat="1" spans="1:6">
      <c r="A156" s="76" t="s">
        <v>237</v>
      </c>
      <c r="B156" s="73" t="str">
        <f>TEXT("20160744",REPT(0,8))</f>
        <v>20160744</v>
      </c>
      <c r="C156" s="73" t="s">
        <v>96</v>
      </c>
      <c r="D156" s="72" t="s">
        <v>7</v>
      </c>
      <c r="E156" s="82"/>
      <c r="F156" s="83">
        <v>1</v>
      </c>
    </row>
    <row r="157" spans="1:6">
      <c r="A157" s="76" t="s">
        <v>237</v>
      </c>
      <c r="B157" s="83" t="str">
        <f>TEXT("20160745",REPT(0,8))</f>
        <v>20160745</v>
      </c>
      <c r="C157" s="83" t="s">
        <v>96</v>
      </c>
      <c r="D157" s="83" t="s">
        <v>7</v>
      </c>
      <c r="F157" s="83">
        <v>1</v>
      </c>
    </row>
    <row r="158" s="50" customFormat="1" spans="1:6">
      <c r="A158" s="76" t="s">
        <v>237</v>
      </c>
      <c r="B158" s="73" t="str">
        <f>TEXT("20160746",REPT(0,8))</f>
        <v>20160746</v>
      </c>
      <c r="C158" s="73" t="s">
        <v>96</v>
      </c>
      <c r="D158" s="72" t="s">
        <v>7</v>
      </c>
      <c r="E158" s="82"/>
      <c r="F158" s="83">
        <v>1</v>
      </c>
    </row>
    <row r="159" s="50" customFormat="1" spans="1:6">
      <c r="A159" s="76" t="s">
        <v>237</v>
      </c>
      <c r="B159" s="73" t="str">
        <f>TEXT("20160747",REPT(0,8))</f>
        <v>20160747</v>
      </c>
      <c r="C159" s="73" t="s">
        <v>96</v>
      </c>
      <c r="D159" s="72" t="s">
        <v>7</v>
      </c>
      <c r="E159" s="82"/>
      <c r="F159" s="83">
        <v>1</v>
      </c>
    </row>
    <row r="160" spans="1:6">
      <c r="A160" s="76" t="s">
        <v>237</v>
      </c>
      <c r="B160" s="83" t="str">
        <f>TEXT("20160748",REPT(0,8))</f>
        <v>20160748</v>
      </c>
      <c r="C160" s="83" t="s">
        <v>96</v>
      </c>
      <c r="D160" s="83" t="s">
        <v>7</v>
      </c>
      <c r="F160" s="83">
        <v>1</v>
      </c>
    </row>
    <row r="161" spans="1:6">
      <c r="A161" s="76" t="s">
        <v>237</v>
      </c>
      <c r="B161" s="83" t="str">
        <f>TEXT("20160749",REPT(0,8))</f>
        <v>20160749</v>
      </c>
      <c r="C161" s="83" t="s">
        <v>96</v>
      </c>
      <c r="D161" s="83" t="s">
        <v>7</v>
      </c>
      <c r="F161" s="83">
        <v>1</v>
      </c>
    </row>
    <row r="162" spans="1:6">
      <c r="A162" s="76" t="s">
        <v>237</v>
      </c>
      <c r="B162" s="83" t="str">
        <f>TEXT("20160750",REPT(0,8))</f>
        <v>20160750</v>
      </c>
      <c r="C162" s="83" t="s">
        <v>96</v>
      </c>
      <c r="D162" s="83" t="s">
        <v>7</v>
      </c>
      <c r="F162" s="83">
        <v>1</v>
      </c>
    </row>
    <row r="163" s="50" customFormat="1" spans="1:6">
      <c r="A163" s="76" t="s">
        <v>237</v>
      </c>
      <c r="B163" s="73" t="str">
        <f>TEXT("20120830",REPT(0,8))</f>
        <v>20120830</v>
      </c>
      <c r="C163" s="73" t="s">
        <v>49</v>
      </c>
      <c r="D163" s="72" t="s">
        <v>7</v>
      </c>
      <c r="E163" s="82"/>
      <c r="F163" s="83">
        <v>1</v>
      </c>
    </row>
    <row r="164" s="50" customFormat="1" spans="1:6">
      <c r="A164" s="76" t="s">
        <v>237</v>
      </c>
      <c r="B164" s="73" t="str">
        <f>TEXT("20120959",REPT(0,8))</f>
        <v>20120959</v>
      </c>
      <c r="C164" s="73" t="s">
        <v>330</v>
      </c>
      <c r="D164" s="72" t="s">
        <v>7</v>
      </c>
      <c r="E164" s="82"/>
      <c r="F164" s="83">
        <v>1</v>
      </c>
    </row>
    <row r="165" s="50" customFormat="1" spans="1:6">
      <c r="A165" s="76" t="s">
        <v>237</v>
      </c>
      <c r="B165" s="73" t="str">
        <f>TEXT("20120688",REPT(0,8))</f>
        <v>20120688</v>
      </c>
      <c r="C165" s="73" t="s">
        <v>331</v>
      </c>
      <c r="D165" s="72" t="s">
        <v>7</v>
      </c>
      <c r="E165" s="82"/>
      <c r="F165" s="83">
        <v>1</v>
      </c>
    </row>
    <row r="166" s="50" customFormat="1" spans="1:6">
      <c r="A166" s="76" t="s">
        <v>237</v>
      </c>
      <c r="B166" s="73" t="str">
        <f>TEXT("20120689",REPT(0,8))</f>
        <v>20120689</v>
      </c>
      <c r="C166" s="73" t="s">
        <v>331</v>
      </c>
      <c r="D166" s="72" t="s">
        <v>7</v>
      </c>
      <c r="E166" s="82"/>
      <c r="F166" s="83">
        <v>1</v>
      </c>
    </row>
    <row r="167" s="50" customFormat="1" spans="1:6">
      <c r="A167" s="76" t="s">
        <v>237</v>
      </c>
      <c r="B167" s="73" t="str">
        <f>TEXT("20120690",REPT(0,8))</f>
        <v>20120690</v>
      </c>
      <c r="C167" s="73" t="s">
        <v>331</v>
      </c>
      <c r="D167" s="72" t="s">
        <v>7</v>
      </c>
      <c r="E167" s="82"/>
      <c r="F167" s="83">
        <v>1</v>
      </c>
    </row>
    <row r="168" s="50" customFormat="1" spans="1:6">
      <c r="A168" s="76" t="s">
        <v>237</v>
      </c>
      <c r="B168" s="73" t="str">
        <f>TEXT("20120691",REPT(0,8))</f>
        <v>20120691</v>
      </c>
      <c r="C168" s="73" t="s">
        <v>331</v>
      </c>
      <c r="D168" s="72" t="s">
        <v>7</v>
      </c>
      <c r="E168" s="82"/>
      <c r="F168" s="83">
        <v>1</v>
      </c>
    </row>
    <row r="169" s="50" customFormat="1" spans="1:6">
      <c r="A169" s="76" t="s">
        <v>237</v>
      </c>
      <c r="B169" s="73" t="str">
        <f>TEXT("20120692",REPT(0,8))</f>
        <v>20120692</v>
      </c>
      <c r="C169" s="73" t="s">
        <v>331</v>
      </c>
      <c r="D169" s="72" t="s">
        <v>7</v>
      </c>
      <c r="E169" s="82"/>
      <c r="F169" s="83">
        <v>1</v>
      </c>
    </row>
    <row r="170" s="50" customFormat="1" spans="1:6">
      <c r="A170" s="76" t="s">
        <v>237</v>
      </c>
      <c r="B170" s="73" t="str">
        <f>TEXT("20120693",REPT(0,8))</f>
        <v>20120693</v>
      </c>
      <c r="C170" s="73" t="s">
        <v>331</v>
      </c>
      <c r="D170" s="72" t="s">
        <v>7</v>
      </c>
      <c r="E170" s="82"/>
      <c r="F170" s="83">
        <v>1</v>
      </c>
    </row>
    <row r="171" s="50" customFormat="1" spans="1:6">
      <c r="A171" s="76" t="s">
        <v>237</v>
      </c>
      <c r="B171" s="73" t="str">
        <f>TEXT("20120694",REPT(0,8))</f>
        <v>20120694</v>
      </c>
      <c r="C171" s="73" t="s">
        <v>331</v>
      </c>
      <c r="D171" s="72" t="s">
        <v>7</v>
      </c>
      <c r="E171" s="82"/>
      <c r="F171" s="83">
        <v>1</v>
      </c>
    </row>
    <row r="172" s="50" customFormat="1" spans="1:6">
      <c r="A172" s="76" t="s">
        <v>237</v>
      </c>
      <c r="B172" s="73" t="str">
        <f>TEXT("20120695",REPT(0,8))</f>
        <v>20120695</v>
      </c>
      <c r="C172" s="73" t="s">
        <v>331</v>
      </c>
      <c r="D172" s="72" t="s">
        <v>7</v>
      </c>
      <c r="E172" s="82"/>
      <c r="F172" s="83">
        <v>1</v>
      </c>
    </row>
    <row r="173" s="50" customFormat="1" spans="1:6">
      <c r="A173" s="76" t="s">
        <v>237</v>
      </c>
      <c r="B173" s="73" t="str">
        <f>TEXT("20120696",REPT(0,8))</f>
        <v>20120696</v>
      </c>
      <c r="C173" s="73" t="s">
        <v>331</v>
      </c>
      <c r="D173" s="72" t="s">
        <v>7</v>
      </c>
      <c r="E173" s="82"/>
      <c r="F173" s="83">
        <v>1</v>
      </c>
    </row>
    <row r="174" spans="1:6">
      <c r="A174" s="76" t="s">
        <v>237</v>
      </c>
      <c r="B174" s="83" t="str">
        <f>TEXT("20160622",REPT(0,8))</f>
        <v>20160622</v>
      </c>
      <c r="C174" s="83" t="s">
        <v>332</v>
      </c>
      <c r="D174" s="83" t="s">
        <v>7</v>
      </c>
      <c r="F174" s="83">
        <v>1</v>
      </c>
    </row>
    <row r="175" spans="1:6">
      <c r="A175" s="76" t="s">
        <v>237</v>
      </c>
      <c r="B175" s="83" t="str">
        <f>TEXT("20160623",REPT(0,8))</f>
        <v>20160623</v>
      </c>
      <c r="C175" s="83" t="s">
        <v>332</v>
      </c>
      <c r="D175" s="83" t="s">
        <v>7</v>
      </c>
      <c r="F175" s="83">
        <v>1</v>
      </c>
    </row>
    <row r="176" spans="1:6">
      <c r="A176" s="76" t="s">
        <v>237</v>
      </c>
      <c r="B176" s="83" t="str">
        <f>TEXT("20160631",REPT(0,8))</f>
        <v>20160631</v>
      </c>
      <c r="C176" s="83" t="s">
        <v>332</v>
      </c>
      <c r="D176" s="83" t="s">
        <v>7</v>
      </c>
      <c r="F176" s="83">
        <v>1</v>
      </c>
    </row>
    <row r="177" spans="1:6">
      <c r="A177" s="76" t="s">
        <v>237</v>
      </c>
      <c r="B177" s="83" t="str">
        <f>TEXT("20160632",REPT(0,8))</f>
        <v>20160632</v>
      </c>
      <c r="C177" s="83" t="s">
        <v>332</v>
      </c>
      <c r="D177" s="83" t="s">
        <v>7</v>
      </c>
      <c r="F177" s="83">
        <v>1</v>
      </c>
    </row>
    <row r="178" spans="1:6">
      <c r="A178" s="76" t="s">
        <v>237</v>
      </c>
      <c r="B178" s="83" t="str">
        <f>TEXT("20160633",REPT(0,8))</f>
        <v>20160633</v>
      </c>
      <c r="C178" s="83" t="s">
        <v>332</v>
      </c>
      <c r="D178" s="83" t="s">
        <v>7</v>
      </c>
      <c r="F178" s="83">
        <v>1</v>
      </c>
    </row>
    <row r="179" spans="1:6">
      <c r="A179" s="76" t="s">
        <v>237</v>
      </c>
      <c r="B179" s="83" t="str">
        <f>TEXT("20160634",REPT(0,8))</f>
        <v>20160634</v>
      </c>
      <c r="C179" s="83" t="s">
        <v>332</v>
      </c>
      <c r="D179" s="83" t="s">
        <v>7</v>
      </c>
      <c r="F179" s="83">
        <v>1</v>
      </c>
    </row>
    <row r="180" spans="1:6">
      <c r="A180" s="76" t="s">
        <v>237</v>
      </c>
      <c r="B180" s="83" t="str">
        <f>TEXT("20160635",REPT(0,8))</f>
        <v>20160635</v>
      </c>
      <c r="C180" s="83" t="s">
        <v>332</v>
      </c>
      <c r="D180" s="83" t="s">
        <v>7</v>
      </c>
      <c r="F180" s="83">
        <v>1</v>
      </c>
    </row>
    <row r="181" spans="1:6">
      <c r="A181" s="76" t="s">
        <v>237</v>
      </c>
      <c r="B181" s="83" t="str">
        <f>TEXT("20160636",REPT(0,8))</f>
        <v>20160636</v>
      </c>
      <c r="C181" s="83" t="s">
        <v>332</v>
      </c>
      <c r="D181" s="83" t="s">
        <v>7</v>
      </c>
      <c r="F181" s="83">
        <v>1</v>
      </c>
    </row>
    <row r="182" spans="1:6">
      <c r="A182" s="76" t="s">
        <v>237</v>
      </c>
      <c r="B182" s="83" t="str">
        <f>TEXT("20160637",REPT(0,8))</f>
        <v>20160637</v>
      </c>
      <c r="C182" s="83" t="s">
        <v>332</v>
      </c>
      <c r="D182" s="83" t="s">
        <v>7</v>
      </c>
      <c r="F182" s="83">
        <v>1</v>
      </c>
    </row>
    <row r="183" spans="1:6">
      <c r="A183" s="76" t="s">
        <v>237</v>
      </c>
      <c r="B183" s="83" t="str">
        <f>TEXT("20160638",REPT(0,8))</f>
        <v>20160638</v>
      </c>
      <c r="C183" s="83" t="s">
        <v>332</v>
      </c>
      <c r="D183" s="83" t="s">
        <v>7</v>
      </c>
      <c r="F183" s="83">
        <v>1</v>
      </c>
    </row>
    <row r="184" spans="1:6">
      <c r="A184" s="76" t="s">
        <v>237</v>
      </c>
      <c r="B184" s="83" t="str">
        <f>TEXT("20160639",REPT(0,8))</f>
        <v>20160639</v>
      </c>
      <c r="C184" s="83" t="s">
        <v>332</v>
      </c>
      <c r="D184" s="83" t="s">
        <v>7</v>
      </c>
      <c r="F184" s="83">
        <v>1</v>
      </c>
    </row>
    <row r="185" spans="1:6">
      <c r="A185" s="76" t="s">
        <v>237</v>
      </c>
      <c r="B185" s="83" t="str">
        <f>TEXT("20160640",REPT(0,8))</f>
        <v>20160640</v>
      </c>
      <c r="C185" s="83" t="s">
        <v>332</v>
      </c>
      <c r="D185" s="83" t="s">
        <v>7</v>
      </c>
      <c r="F185" s="83">
        <v>1</v>
      </c>
    </row>
    <row r="186" spans="1:6">
      <c r="A186" s="76" t="s">
        <v>237</v>
      </c>
      <c r="B186" s="83" t="str">
        <f>TEXT("20160641",REPT(0,8))</f>
        <v>20160641</v>
      </c>
      <c r="C186" s="83" t="s">
        <v>332</v>
      </c>
      <c r="D186" s="83" t="s">
        <v>7</v>
      </c>
      <c r="F186" s="83">
        <v>1</v>
      </c>
    </row>
    <row r="187" spans="1:6">
      <c r="A187" s="76" t="s">
        <v>237</v>
      </c>
      <c r="B187" s="83" t="str">
        <f>TEXT("20160642",REPT(0,8))</f>
        <v>20160642</v>
      </c>
      <c r="C187" s="83" t="s">
        <v>332</v>
      </c>
      <c r="D187" s="83" t="s">
        <v>7</v>
      </c>
      <c r="F187" s="83">
        <v>1</v>
      </c>
    </row>
    <row r="188" spans="1:6">
      <c r="A188" s="76" t="s">
        <v>237</v>
      </c>
      <c r="B188" s="83" t="str">
        <f>TEXT("20160643",REPT(0,8))</f>
        <v>20160643</v>
      </c>
      <c r="C188" s="83" t="s">
        <v>332</v>
      </c>
      <c r="D188" s="83" t="s">
        <v>7</v>
      </c>
      <c r="F188" s="83">
        <v>1</v>
      </c>
    </row>
    <row r="189" spans="1:6">
      <c r="A189" s="76" t="s">
        <v>237</v>
      </c>
      <c r="B189" s="83" t="str">
        <f>TEXT("20160644",REPT(0,8))</f>
        <v>20160644</v>
      </c>
      <c r="C189" s="83" t="s">
        <v>332</v>
      </c>
      <c r="D189" s="83" t="s">
        <v>7</v>
      </c>
      <c r="F189" s="83">
        <v>1</v>
      </c>
    </row>
    <row r="190" spans="1:6">
      <c r="A190" s="76" t="s">
        <v>237</v>
      </c>
      <c r="B190" s="83" t="str">
        <f>TEXT("20160645",REPT(0,8))</f>
        <v>20160645</v>
      </c>
      <c r="C190" s="83" t="s">
        <v>332</v>
      </c>
      <c r="D190" s="83" t="s">
        <v>7</v>
      </c>
      <c r="F190" s="83">
        <v>1</v>
      </c>
    </row>
    <row r="191" spans="1:6">
      <c r="A191" s="76" t="s">
        <v>237</v>
      </c>
      <c r="B191" s="83" t="str">
        <f>TEXT("20160646",REPT(0,8))</f>
        <v>20160646</v>
      </c>
      <c r="C191" s="83" t="s">
        <v>332</v>
      </c>
      <c r="D191" s="83" t="s">
        <v>7</v>
      </c>
      <c r="F191" s="83">
        <v>1</v>
      </c>
    </row>
    <row r="192" spans="1:6">
      <c r="A192" s="76" t="s">
        <v>237</v>
      </c>
      <c r="B192" s="83" t="str">
        <f>TEXT("20160647",REPT(0,8))</f>
        <v>20160647</v>
      </c>
      <c r="C192" s="83" t="s">
        <v>332</v>
      </c>
      <c r="D192" s="83" t="s">
        <v>7</v>
      </c>
      <c r="F192" s="83">
        <v>1</v>
      </c>
    </row>
    <row r="193" spans="1:6">
      <c r="A193" s="76" t="s">
        <v>237</v>
      </c>
      <c r="B193" s="83" t="str">
        <f>TEXT("20160648",REPT(0,8))</f>
        <v>20160648</v>
      </c>
      <c r="C193" s="83" t="s">
        <v>332</v>
      </c>
      <c r="D193" s="83" t="s">
        <v>7</v>
      </c>
      <c r="F193" s="83">
        <v>1</v>
      </c>
    </row>
    <row r="194" spans="1:6">
      <c r="A194" s="76" t="s">
        <v>237</v>
      </c>
      <c r="B194" s="83" t="str">
        <f>TEXT("20190509",REPT(0,8))</f>
        <v>20190509</v>
      </c>
      <c r="C194" s="83" t="s">
        <v>333</v>
      </c>
      <c r="D194" s="83" t="s">
        <v>7</v>
      </c>
      <c r="F194" s="83">
        <v>1</v>
      </c>
    </row>
    <row r="195" spans="1:6">
      <c r="A195" s="76" t="s">
        <v>237</v>
      </c>
      <c r="B195" s="83" t="str">
        <f>TEXT("20170523",REPT(0,8))</f>
        <v>20170523</v>
      </c>
      <c r="C195" s="83" t="s">
        <v>334</v>
      </c>
      <c r="D195" s="83" t="s">
        <v>7</v>
      </c>
      <c r="F195" s="83">
        <v>1</v>
      </c>
    </row>
    <row r="196" spans="1:6">
      <c r="A196" s="76" t="s">
        <v>237</v>
      </c>
      <c r="B196" s="83" t="str">
        <f>TEXT("20190480",REPT(0,8))</f>
        <v>20190480</v>
      </c>
      <c r="C196" s="83" t="s">
        <v>335</v>
      </c>
      <c r="D196" s="83" t="s">
        <v>7</v>
      </c>
      <c r="F196" s="83">
        <v>1</v>
      </c>
    </row>
    <row r="197" spans="1:6">
      <c r="A197" s="76" t="s">
        <v>237</v>
      </c>
      <c r="B197" s="83" t="str">
        <f>TEXT("20220379",REPT(0,8))</f>
        <v>20220379</v>
      </c>
      <c r="C197" s="83" t="s">
        <v>336</v>
      </c>
      <c r="D197" s="83" t="s">
        <v>7</v>
      </c>
      <c r="F197" s="83">
        <v>1</v>
      </c>
    </row>
    <row r="198" spans="1:6">
      <c r="A198" s="76" t="s">
        <v>237</v>
      </c>
      <c r="B198" s="83" t="str">
        <f>TEXT("20220380",REPT(0,8))</f>
        <v>20220380</v>
      </c>
      <c r="C198" s="83" t="s">
        <v>336</v>
      </c>
      <c r="D198" s="83" t="s">
        <v>7</v>
      </c>
      <c r="F198" s="83">
        <v>1</v>
      </c>
    </row>
    <row r="199" spans="1:6">
      <c r="A199" s="76" t="s">
        <v>237</v>
      </c>
      <c r="B199" s="83" t="str">
        <f>TEXT("20220945",REPT(0,8))</f>
        <v>20220945</v>
      </c>
      <c r="C199" s="83" t="s">
        <v>35</v>
      </c>
      <c r="D199" s="83" t="s">
        <v>7</v>
      </c>
      <c r="F199" s="83">
        <v>1</v>
      </c>
    </row>
    <row r="200" spans="1:6">
      <c r="A200" s="76" t="s">
        <v>237</v>
      </c>
      <c r="B200" s="83" t="str">
        <f>TEXT("20240891",REPT(0,8))</f>
        <v>20240891</v>
      </c>
      <c r="C200" s="83" t="s">
        <v>336</v>
      </c>
      <c r="D200" s="83" t="s">
        <v>7</v>
      </c>
      <c r="F200" s="83">
        <v>1</v>
      </c>
    </row>
    <row r="201" s="50" customFormat="1" spans="1:6">
      <c r="A201" s="76" t="s">
        <v>237</v>
      </c>
      <c r="B201" s="73" t="str">
        <f>TEXT("20130151",REPT(0,8))</f>
        <v>20130151</v>
      </c>
      <c r="C201" s="73" t="s">
        <v>337</v>
      </c>
      <c r="D201" s="72" t="s">
        <v>7</v>
      </c>
      <c r="E201" s="82" t="s">
        <v>338</v>
      </c>
      <c r="F201" s="83">
        <v>1</v>
      </c>
    </row>
    <row r="202" spans="1:6">
      <c r="A202" s="76" t="s">
        <v>237</v>
      </c>
      <c r="B202" s="83" t="str">
        <f>TEXT("20160582",REPT(0,8))</f>
        <v>20160582</v>
      </c>
      <c r="C202" s="83" t="s">
        <v>339</v>
      </c>
      <c r="D202" s="83" t="s">
        <v>7</v>
      </c>
      <c r="F202" s="83">
        <v>1</v>
      </c>
    </row>
    <row r="203" spans="1:6">
      <c r="A203" s="76" t="s">
        <v>237</v>
      </c>
      <c r="B203" s="83" t="str">
        <f>TEXT("20230178",REPT(0,8))</f>
        <v>20230178</v>
      </c>
      <c r="C203" s="83" t="s">
        <v>340</v>
      </c>
      <c r="D203" s="83" t="s">
        <v>7</v>
      </c>
      <c r="F203" s="83">
        <v>1</v>
      </c>
    </row>
    <row r="204" spans="1:6">
      <c r="A204" s="76" t="s">
        <v>237</v>
      </c>
      <c r="B204" s="83" t="str">
        <f>TEXT("20240888",REPT(0,8))</f>
        <v>20240888</v>
      </c>
      <c r="C204" s="83" t="s">
        <v>341</v>
      </c>
      <c r="D204" s="83" t="s">
        <v>7</v>
      </c>
      <c r="F204" s="83">
        <v>1</v>
      </c>
    </row>
    <row r="205" spans="1:6">
      <c r="A205" s="76" t="s">
        <v>237</v>
      </c>
      <c r="B205" s="83" t="str">
        <f>TEXT("20240889",REPT(0,8))</f>
        <v>20240889</v>
      </c>
      <c r="C205" s="83" t="s">
        <v>342</v>
      </c>
      <c r="D205" s="83" t="s">
        <v>7</v>
      </c>
      <c r="F205" s="83">
        <v>1</v>
      </c>
    </row>
    <row r="206" spans="1:6">
      <c r="A206" s="76" t="s">
        <v>237</v>
      </c>
      <c r="B206" s="83" t="str">
        <f>TEXT("20240890",REPT(0,8))</f>
        <v>20240890</v>
      </c>
      <c r="C206" s="83" t="s">
        <v>343</v>
      </c>
      <c r="D206" s="83" t="s">
        <v>7</v>
      </c>
      <c r="F206" s="83">
        <v>1</v>
      </c>
    </row>
    <row r="207" spans="1:6">
      <c r="A207" s="76" t="s">
        <v>237</v>
      </c>
      <c r="B207" s="83" t="str">
        <f>TEXT("20171137",REPT(0,8))</f>
        <v>20171137</v>
      </c>
      <c r="C207" s="83" t="s">
        <v>344</v>
      </c>
      <c r="D207" s="83" t="s">
        <v>7</v>
      </c>
      <c r="F207" s="83">
        <v>1</v>
      </c>
    </row>
    <row r="208" spans="1:6">
      <c r="A208" s="76" t="s">
        <v>237</v>
      </c>
      <c r="B208" s="83" t="str">
        <f>TEXT("20171116",REPT(0,8))</f>
        <v>20171116</v>
      </c>
      <c r="C208" s="83" t="s">
        <v>345</v>
      </c>
      <c r="D208" s="83" t="s">
        <v>7</v>
      </c>
      <c r="F208" s="83">
        <v>1</v>
      </c>
    </row>
    <row r="209" spans="1:6">
      <c r="A209" s="76" t="s">
        <v>237</v>
      </c>
      <c r="B209" s="83" t="str">
        <f>TEXT("20171117",REPT(0,8))</f>
        <v>20171117</v>
      </c>
      <c r="C209" s="83" t="s">
        <v>346</v>
      </c>
      <c r="D209" s="83" t="s">
        <v>7</v>
      </c>
      <c r="F209" s="83">
        <v>1</v>
      </c>
    </row>
    <row r="210" spans="1:6">
      <c r="A210" s="76" t="s">
        <v>237</v>
      </c>
      <c r="B210" s="83" t="str">
        <f>TEXT("20171118",REPT(0,8))</f>
        <v>20171118</v>
      </c>
      <c r="C210" s="83" t="s">
        <v>347</v>
      </c>
      <c r="D210" s="83" t="s">
        <v>7</v>
      </c>
      <c r="F210" s="83">
        <v>1</v>
      </c>
    </row>
    <row r="211" spans="1:6">
      <c r="A211" s="76" t="s">
        <v>237</v>
      </c>
      <c r="B211" s="83" t="str">
        <f>TEXT("20171119",REPT(0,8))</f>
        <v>20171119</v>
      </c>
      <c r="C211" s="83" t="s">
        <v>348</v>
      </c>
      <c r="D211" s="83" t="s">
        <v>7</v>
      </c>
      <c r="F211" s="83">
        <v>1</v>
      </c>
    </row>
    <row r="212" spans="1:6">
      <c r="A212" s="76" t="s">
        <v>237</v>
      </c>
      <c r="B212" s="83" t="str">
        <f>TEXT("20171120",REPT(0,8))</f>
        <v>20171120</v>
      </c>
      <c r="C212" s="83" t="s">
        <v>177</v>
      </c>
      <c r="D212" s="83" t="s">
        <v>7</v>
      </c>
      <c r="F212" s="83">
        <v>1</v>
      </c>
    </row>
    <row r="213" spans="1:6">
      <c r="A213" s="76" t="s">
        <v>237</v>
      </c>
      <c r="B213" s="83" t="str">
        <f>TEXT("20171121",REPT(0,8))</f>
        <v>20171121</v>
      </c>
      <c r="C213" s="83" t="s">
        <v>177</v>
      </c>
      <c r="D213" s="83" t="s">
        <v>7</v>
      </c>
      <c r="F213" s="83">
        <v>1</v>
      </c>
    </row>
    <row r="214" spans="1:6">
      <c r="A214" s="76" t="s">
        <v>237</v>
      </c>
      <c r="B214" s="83" t="str">
        <f>TEXT("20171122",REPT(0,8))</f>
        <v>20171122</v>
      </c>
      <c r="C214" s="83" t="s">
        <v>177</v>
      </c>
      <c r="D214" s="83" t="s">
        <v>7</v>
      </c>
      <c r="F214" s="83">
        <v>1</v>
      </c>
    </row>
    <row r="215" spans="1:6">
      <c r="A215" s="76" t="s">
        <v>237</v>
      </c>
      <c r="B215" s="83" t="str">
        <f>TEXT("20171123",REPT(0,8))</f>
        <v>20171123</v>
      </c>
      <c r="C215" s="83" t="s">
        <v>177</v>
      </c>
      <c r="D215" s="83" t="s">
        <v>7</v>
      </c>
      <c r="F215" s="83">
        <v>1</v>
      </c>
    </row>
    <row r="216" spans="1:6">
      <c r="A216" s="76" t="s">
        <v>237</v>
      </c>
      <c r="B216" s="83" t="str">
        <f>TEXT("20171124",REPT(0,8))</f>
        <v>20171124</v>
      </c>
      <c r="C216" s="83" t="s">
        <v>177</v>
      </c>
      <c r="D216" s="83" t="s">
        <v>7</v>
      </c>
      <c r="F216" s="83">
        <v>1</v>
      </c>
    </row>
    <row r="217" spans="1:6">
      <c r="A217" s="76" t="s">
        <v>237</v>
      </c>
      <c r="B217" s="83" t="str">
        <f>TEXT("20171125",REPT(0,8))</f>
        <v>20171125</v>
      </c>
      <c r="C217" s="83" t="s">
        <v>177</v>
      </c>
      <c r="D217" s="83" t="s">
        <v>7</v>
      </c>
      <c r="F217" s="83">
        <v>1</v>
      </c>
    </row>
    <row r="218" spans="1:6">
      <c r="A218" s="76" t="s">
        <v>237</v>
      </c>
      <c r="B218" s="83" t="str">
        <f>TEXT("20171126",REPT(0,8))</f>
        <v>20171126</v>
      </c>
      <c r="C218" s="83" t="s">
        <v>177</v>
      </c>
      <c r="D218" s="83" t="s">
        <v>7</v>
      </c>
      <c r="F218" s="83">
        <v>1</v>
      </c>
    </row>
    <row r="219" spans="1:6">
      <c r="A219" s="76" t="s">
        <v>237</v>
      </c>
      <c r="B219" s="83" t="str">
        <f>TEXT("20171127",REPT(0,8))</f>
        <v>20171127</v>
      </c>
      <c r="C219" s="83" t="s">
        <v>177</v>
      </c>
      <c r="D219" s="83" t="s">
        <v>7</v>
      </c>
      <c r="F219" s="83">
        <v>1</v>
      </c>
    </row>
    <row r="220" spans="1:6">
      <c r="A220" s="76" t="s">
        <v>237</v>
      </c>
      <c r="B220" s="83" t="str">
        <f>TEXT("20171128",REPT(0,8))</f>
        <v>20171128</v>
      </c>
      <c r="C220" s="83" t="s">
        <v>177</v>
      </c>
      <c r="D220" s="83" t="s">
        <v>7</v>
      </c>
      <c r="F220" s="83">
        <v>1</v>
      </c>
    </row>
    <row r="221" spans="1:6">
      <c r="A221" s="76" t="s">
        <v>237</v>
      </c>
      <c r="B221" s="83" t="str">
        <f>TEXT("20171129",REPT(0,8))</f>
        <v>20171129</v>
      </c>
      <c r="C221" s="83" t="s">
        <v>177</v>
      </c>
      <c r="D221" s="83" t="s">
        <v>7</v>
      </c>
      <c r="F221" s="83">
        <v>1</v>
      </c>
    </row>
    <row r="222" spans="1:6">
      <c r="A222" s="76" t="s">
        <v>237</v>
      </c>
      <c r="B222" s="83" t="str">
        <f>TEXT("20171130",REPT(0,8))</f>
        <v>20171130</v>
      </c>
      <c r="C222" s="83" t="s">
        <v>177</v>
      </c>
      <c r="D222" s="83" t="s">
        <v>7</v>
      </c>
      <c r="F222" s="83">
        <v>1</v>
      </c>
    </row>
    <row r="223" spans="1:6">
      <c r="A223" s="76" t="s">
        <v>237</v>
      </c>
      <c r="B223" s="83" t="str">
        <f>TEXT("20171131",REPT(0,8))</f>
        <v>20171131</v>
      </c>
      <c r="C223" s="83" t="s">
        <v>177</v>
      </c>
      <c r="D223" s="83" t="s">
        <v>7</v>
      </c>
      <c r="F223" s="83">
        <v>1</v>
      </c>
    </row>
    <row r="224" spans="1:6">
      <c r="A224" s="76" t="s">
        <v>237</v>
      </c>
      <c r="B224" s="83" t="str">
        <f>TEXT("20171132",REPT(0,8))</f>
        <v>20171132</v>
      </c>
      <c r="C224" s="83" t="s">
        <v>177</v>
      </c>
      <c r="D224" s="83" t="s">
        <v>7</v>
      </c>
      <c r="F224" s="83">
        <v>1</v>
      </c>
    </row>
    <row r="225" spans="1:6">
      <c r="A225" s="76" t="s">
        <v>237</v>
      </c>
      <c r="B225" s="83" t="str">
        <f>TEXT("20171133",REPT(0,8))</f>
        <v>20171133</v>
      </c>
      <c r="C225" s="83" t="s">
        <v>177</v>
      </c>
      <c r="D225" s="83" t="s">
        <v>7</v>
      </c>
      <c r="F225" s="83">
        <v>1</v>
      </c>
    </row>
    <row r="226" spans="1:6">
      <c r="A226" s="76" t="s">
        <v>237</v>
      </c>
      <c r="B226" s="83" t="str">
        <f>TEXT("20171134",REPT(0,8))</f>
        <v>20171134</v>
      </c>
      <c r="C226" s="83" t="s">
        <v>177</v>
      </c>
      <c r="D226" s="83" t="s">
        <v>7</v>
      </c>
      <c r="F226" s="83">
        <v>1</v>
      </c>
    </row>
    <row r="227" spans="1:6">
      <c r="A227" s="76" t="s">
        <v>237</v>
      </c>
      <c r="B227" s="83" t="str">
        <f>TEXT("20171135",REPT(0,8))</f>
        <v>20171135</v>
      </c>
      <c r="C227" s="83" t="s">
        <v>177</v>
      </c>
      <c r="D227" s="83" t="s">
        <v>7</v>
      </c>
      <c r="F227" s="83">
        <v>1</v>
      </c>
    </row>
    <row r="228" spans="1:6">
      <c r="A228" s="76" t="s">
        <v>237</v>
      </c>
      <c r="B228" s="83" t="str">
        <f>TEXT("20171115",REPT(0,8))</f>
        <v>20171115</v>
      </c>
      <c r="C228" s="83" t="s">
        <v>349</v>
      </c>
      <c r="D228" s="83" t="s">
        <v>7</v>
      </c>
      <c r="F228" s="83">
        <v>1</v>
      </c>
    </row>
    <row r="229" s="76" customFormat="1" spans="1:2565">
      <c r="A229" s="76" t="s">
        <v>237</v>
      </c>
      <c r="B229" s="83" t="str">
        <f>TEXT("20120831",REPT(0,8))</f>
        <v>20120831</v>
      </c>
      <c r="C229" s="83" t="s">
        <v>49</v>
      </c>
      <c r="D229" s="83" t="s">
        <v>7</v>
      </c>
      <c r="E229" s="82"/>
      <c r="F229" s="83">
        <v>1</v>
      </c>
      <c r="JA229" s="50"/>
      <c r="SW229" s="50"/>
      <c r="ACS229" s="50"/>
      <c r="AMO229" s="50"/>
      <c r="AWK229" s="50"/>
      <c r="BGG229" s="50"/>
      <c r="BQC229" s="50"/>
      <c r="BZY229" s="50"/>
      <c r="CJU229" s="50"/>
      <c r="CTQ229" s="50"/>
    </row>
    <row r="230" spans="1:6">
      <c r="A230" s="76" t="s">
        <v>237</v>
      </c>
      <c r="B230" s="83" t="str">
        <f>TEXT("20171136",REPT(0,8))</f>
        <v>20171136</v>
      </c>
      <c r="C230" s="83" t="s">
        <v>95</v>
      </c>
      <c r="D230" s="83" t="s">
        <v>7</v>
      </c>
      <c r="F230" s="83">
        <v>1</v>
      </c>
    </row>
    <row r="231" s="50" customFormat="1" spans="1:6">
      <c r="A231" s="76" t="s">
        <v>237</v>
      </c>
      <c r="B231" s="73" t="str">
        <f>TEXT("20120549",REPT(0,8))</f>
        <v>20120549</v>
      </c>
      <c r="C231" s="73" t="s">
        <v>95</v>
      </c>
      <c r="D231" s="72" t="s">
        <v>7</v>
      </c>
      <c r="E231" s="82"/>
      <c r="F231" s="83">
        <v>1</v>
      </c>
    </row>
    <row r="232" spans="1:6">
      <c r="A232" s="76" t="s">
        <v>237</v>
      </c>
      <c r="B232" s="83" t="str">
        <f>TEXT("20220450",REPT(0,8))</f>
        <v>20220450</v>
      </c>
      <c r="C232" s="83" t="s">
        <v>96</v>
      </c>
      <c r="D232" s="83" t="s">
        <v>7</v>
      </c>
      <c r="F232" s="83">
        <v>1</v>
      </c>
    </row>
    <row r="233" spans="1:6">
      <c r="A233" s="76" t="s">
        <v>237</v>
      </c>
      <c r="B233" s="83" t="str">
        <f>TEXT("20220451",REPT(0,8))</f>
        <v>20220451</v>
      </c>
      <c r="C233" s="83" t="s">
        <v>96</v>
      </c>
      <c r="D233" s="83" t="s">
        <v>7</v>
      </c>
      <c r="F233" s="83">
        <v>1</v>
      </c>
    </row>
    <row r="234" spans="1:6">
      <c r="A234" s="76" t="s">
        <v>237</v>
      </c>
      <c r="B234" s="83" t="str">
        <f>TEXT("20220452",REPT(0,8))</f>
        <v>20220452</v>
      </c>
      <c r="C234" s="83" t="s">
        <v>96</v>
      </c>
      <c r="D234" s="83" t="s">
        <v>7</v>
      </c>
      <c r="F234" s="83">
        <v>1</v>
      </c>
    </row>
    <row r="235" spans="1:6">
      <c r="A235" s="76" t="s">
        <v>237</v>
      </c>
      <c r="B235" s="83" t="str">
        <f>TEXT("20220453",REPT(0,8))</f>
        <v>20220453</v>
      </c>
      <c r="C235" s="83" t="s">
        <v>96</v>
      </c>
      <c r="D235" s="83" t="s">
        <v>7</v>
      </c>
      <c r="F235" s="83">
        <v>1</v>
      </c>
    </row>
    <row r="236" spans="1:6">
      <c r="A236" s="76" t="s">
        <v>237</v>
      </c>
      <c r="B236" s="83" t="str">
        <f>TEXT("20220454",REPT(0,8))</f>
        <v>20220454</v>
      </c>
      <c r="C236" s="83" t="s">
        <v>96</v>
      </c>
      <c r="D236" s="83" t="s">
        <v>7</v>
      </c>
      <c r="F236" s="83">
        <v>1</v>
      </c>
    </row>
    <row r="237" spans="1:6">
      <c r="A237" s="76" t="s">
        <v>237</v>
      </c>
      <c r="B237" s="83" t="str">
        <f>TEXT("20220455",REPT(0,8))</f>
        <v>20220455</v>
      </c>
      <c r="C237" s="83" t="s">
        <v>96</v>
      </c>
      <c r="D237" s="83" t="s">
        <v>7</v>
      </c>
      <c r="F237" s="83">
        <v>1</v>
      </c>
    </row>
    <row r="238" spans="1:6">
      <c r="A238" s="76" t="s">
        <v>237</v>
      </c>
      <c r="B238" s="83" t="str">
        <f>TEXT("20220456",REPT(0,8))</f>
        <v>20220456</v>
      </c>
      <c r="C238" s="83" t="s">
        <v>96</v>
      </c>
      <c r="D238" s="83" t="s">
        <v>7</v>
      </c>
      <c r="F238" s="83">
        <v>1</v>
      </c>
    </row>
    <row r="239" spans="1:6">
      <c r="A239" s="76" t="s">
        <v>237</v>
      </c>
      <c r="B239" s="83" t="str">
        <f>TEXT("20220457",REPT(0,8))</f>
        <v>20220457</v>
      </c>
      <c r="C239" s="83" t="s">
        <v>96</v>
      </c>
      <c r="D239" s="83" t="s">
        <v>7</v>
      </c>
      <c r="F239" s="83">
        <v>1</v>
      </c>
    </row>
    <row r="240" spans="1:6">
      <c r="A240" s="76" t="s">
        <v>237</v>
      </c>
      <c r="B240" s="83" t="str">
        <f>TEXT("20220458",REPT(0,8))</f>
        <v>20220458</v>
      </c>
      <c r="C240" s="83" t="s">
        <v>96</v>
      </c>
      <c r="D240" s="83" t="s">
        <v>7</v>
      </c>
      <c r="F240" s="83">
        <v>1</v>
      </c>
    </row>
    <row r="241" spans="1:6">
      <c r="A241" s="76" t="s">
        <v>237</v>
      </c>
      <c r="B241" s="83" t="str">
        <f>TEXT("20220459",REPT(0,8))</f>
        <v>20220459</v>
      </c>
      <c r="C241" s="83" t="s">
        <v>96</v>
      </c>
      <c r="D241" s="83" t="s">
        <v>7</v>
      </c>
      <c r="F241" s="83">
        <v>1</v>
      </c>
    </row>
    <row r="242" spans="1:6">
      <c r="A242" s="76" t="s">
        <v>237</v>
      </c>
      <c r="B242" s="83" t="str">
        <f>TEXT("20220460",REPT(0,8))</f>
        <v>20220460</v>
      </c>
      <c r="C242" s="83" t="s">
        <v>96</v>
      </c>
      <c r="D242" s="83" t="s">
        <v>7</v>
      </c>
      <c r="F242" s="83">
        <v>1</v>
      </c>
    </row>
    <row r="243" spans="1:6">
      <c r="A243" s="76" t="s">
        <v>237</v>
      </c>
      <c r="B243" s="83" t="str">
        <f>TEXT("20220461",REPT(0,8))</f>
        <v>20220461</v>
      </c>
      <c r="C243" s="83" t="s">
        <v>96</v>
      </c>
      <c r="D243" s="83" t="s">
        <v>7</v>
      </c>
      <c r="F243" s="83">
        <v>1</v>
      </c>
    </row>
    <row r="244" spans="1:6">
      <c r="A244" s="76" t="s">
        <v>237</v>
      </c>
      <c r="B244" s="83" t="str">
        <f>TEXT("20220462",REPT(0,8))</f>
        <v>20220462</v>
      </c>
      <c r="C244" s="83" t="s">
        <v>96</v>
      </c>
      <c r="D244" s="83" t="s">
        <v>7</v>
      </c>
      <c r="F244" s="83">
        <v>1</v>
      </c>
    </row>
    <row r="245" spans="1:6">
      <c r="A245" s="76" t="s">
        <v>237</v>
      </c>
      <c r="B245" s="83" t="str">
        <f>TEXT("20220463",REPT(0,8))</f>
        <v>20220463</v>
      </c>
      <c r="C245" s="83" t="s">
        <v>96</v>
      </c>
      <c r="D245" s="83" t="s">
        <v>7</v>
      </c>
      <c r="F245" s="83">
        <v>1</v>
      </c>
    </row>
    <row r="246" spans="1:6">
      <c r="A246" s="76" t="s">
        <v>237</v>
      </c>
      <c r="B246" s="83" t="str">
        <f>TEXT("20220464",REPT(0,8))</f>
        <v>20220464</v>
      </c>
      <c r="C246" s="83" t="s">
        <v>96</v>
      </c>
      <c r="D246" s="83" t="s">
        <v>7</v>
      </c>
      <c r="F246" s="83">
        <v>1</v>
      </c>
    </row>
    <row r="247" spans="1:6">
      <c r="A247" s="76" t="s">
        <v>237</v>
      </c>
      <c r="B247" s="83" t="str">
        <f>TEXT("20220465",REPT(0,8))</f>
        <v>20220465</v>
      </c>
      <c r="C247" s="83" t="s">
        <v>96</v>
      </c>
      <c r="D247" s="83" t="s">
        <v>7</v>
      </c>
      <c r="F247" s="83">
        <v>1</v>
      </c>
    </row>
    <row r="248" spans="1:6">
      <c r="A248" s="76" t="s">
        <v>237</v>
      </c>
      <c r="B248" s="83" t="str">
        <f>TEXT("20220466",REPT(0,8))</f>
        <v>20220466</v>
      </c>
      <c r="C248" s="83" t="s">
        <v>96</v>
      </c>
      <c r="D248" s="83" t="s">
        <v>7</v>
      </c>
      <c r="F248" s="83">
        <v>1</v>
      </c>
    </row>
    <row r="249" spans="1:6">
      <c r="A249" s="76" t="s">
        <v>237</v>
      </c>
      <c r="B249" s="83" t="str">
        <f>TEXT("20220467",REPT(0,8))</f>
        <v>20220467</v>
      </c>
      <c r="C249" s="83" t="s">
        <v>96</v>
      </c>
      <c r="D249" s="83" t="s">
        <v>7</v>
      </c>
      <c r="F249" s="83">
        <v>1</v>
      </c>
    </row>
    <row r="250" spans="1:6">
      <c r="A250" s="76" t="s">
        <v>237</v>
      </c>
      <c r="B250" s="83" t="str">
        <f>TEXT("20220468",REPT(0,8))</f>
        <v>20220468</v>
      </c>
      <c r="C250" s="83" t="s">
        <v>96</v>
      </c>
      <c r="D250" s="83" t="s">
        <v>7</v>
      </c>
      <c r="F250" s="83">
        <v>1</v>
      </c>
    </row>
    <row r="251" spans="1:6">
      <c r="A251" s="76" t="s">
        <v>237</v>
      </c>
      <c r="B251" s="83" t="str">
        <f>TEXT("20220469",REPT(0,8))</f>
        <v>20220469</v>
      </c>
      <c r="C251" s="83" t="s">
        <v>96</v>
      </c>
      <c r="D251" s="83" t="s">
        <v>7</v>
      </c>
      <c r="F251" s="83">
        <v>1</v>
      </c>
    </row>
    <row r="252" spans="1:6">
      <c r="A252" s="76" t="s">
        <v>237</v>
      </c>
      <c r="B252" s="83" t="str">
        <f>TEXT("20220946",REPT(0,8))</f>
        <v>20220946</v>
      </c>
      <c r="C252" s="83" t="s">
        <v>35</v>
      </c>
      <c r="D252" s="83" t="s">
        <v>7</v>
      </c>
      <c r="F252" s="83">
        <v>1</v>
      </c>
    </row>
    <row r="253" spans="1:6">
      <c r="A253" s="76" t="s">
        <v>237</v>
      </c>
      <c r="B253" s="83" t="str">
        <f>TEXT("20220951",REPT(0,8))</f>
        <v>20220951</v>
      </c>
      <c r="C253" s="83" t="s">
        <v>94</v>
      </c>
      <c r="D253" s="83" t="s">
        <v>7</v>
      </c>
      <c r="F253" s="83">
        <v>1</v>
      </c>
    </row>
    <row r="254" spans="1:6">
      <c r="A254" s="76" t="s">
        <v>237</v>
      </c>
      <c r="B254" s="83" t="str">
        <f>TEXT("20220988",REPT(0,8))</f>
        <v>20220988</v>
      </c>
      <c r="C254" s="83" t="s">
        <v>350</v>
      </c>
      <c r="D254" s="83" t="s">
        <v>7</v>
      </c>
      <c r="F254" s="83">
        <v>1</v>
      </c>
    </row>
    <row r="255" spans="1:6">
      <c r="A255" s="76" t="s">
        <v>237</v>
      </c>
      <c r="B255" s="83" t="str">
        <f>TEXT("20220989",REPT(0,8))</f>
        <v>20220989</v>
      </c>
      <c r="C255" s="83" t="s">
        <v>350</v>
      </c>
      <c r="D255" s="83" t="s">
        <v>7</v>
      </c>
      <c r="F255" s="83">
        <v>1</v>
      </c>
    </row>
    <row r="256" spans="1:6">
      <c r="A256" s="76" t="s">
        <v>237</v>
      </c>
      <c r="B256" s="83" t="str">
        <f>TEXT("20220990",REPT(0,8))</f>
        <v>20220990</v>
      </c>
      <c r="C256" s="83" t="s">
        <v>350</v>
      </c>
      <c r="D256" s="83" t="s">
        <v>7</v>
      </c>
      <c r="F256" s="83">
        <v>1</v>
      </c>
    </row>
    <row r="257" spans="1:6">
      <c r="A257" s="76" t="s">
        <v>237</v>
      </c>
      <c r="B257" s="83" t="str">
        <f>TEXT("20220991",REPT(0,8))</f>
        <v>20220991</v>
      </c>
      <c r="C257" s="83" t="s">
        <v>350</v>
      </c>
      <c r="D257" s="83" t="s">
        <v>7</v>
      </c>
      <c r="F257" s="83">
        <v>1</v>
      </c>
    </row>
    <row r="258" spans="1:6">
      <c r="A258" s="76" t="s">
        <v>237</v>
      </c>
      <c r="B258" s="83" t="str">
        <f>TEXT("20220992",REPT(0,8))</f>
        <v>20220992</v>
      </c>
      <c r="C258" s="83" t="s">
        <v>350</v>
      </c>
      <c r="D258" s="83" t="s">
        <v>7</v>
      </c>
      <c r="F258" s="83">
        <v>1</v>
      </c>
    </row>
    <row r="259" spans="1:6">
      <c r="A259" s="76" t="s">
        <v>237</v>
      </c>
      <c r="B259" s="83" t="str">
        <f>TEXT("20220993",REPT(0,8))</f>
        <v>20220993</v>
      </c>
      <c r="C259" s="83" t="s">
        <v>350</v>
      </c>
      <c r="D259" s="83" t="s">
        <v>7</v>
      </c>
      <c r="F259" s="83">
        <v>1</v>
      </c>
    </row>
    <row r="260" spans="1:6">
      <c r="A260" s="76" t="s">
        <v>237</v>
      </c>
      <c r="B260" s="83" t="str">
        <f>TEXT("20240608",REPT(0,8))</f>
        <v>20240608</v>
      </c>
      <c r="C260" s="83" t="s">
        <v>96</v>
      </c>
      <c r="D260" s="83" t="s">
        <v>7</v>
      </c>
      <c r="F260" s="83">
        <v>1</v>
      </c>
    </row>
    <row r="261" spans="1:6">
      <c r="A261" s="76" t="s">
        <v>237</v>
      </c>
      <c r="B261" s="83" t="str">
        <f>TEXT("20240609",REPT(0,8))</f>
        <v>20240609</v>
      </c>
      <c r="C261" s="83" t="s">
        <v>96</v>
      </c>
      <c r="D261" s="83" t="s">
        <v>7</v>
      </c>
      <c r="F261" s="83">
        <v>1</v>
      </c>
    </row>
    <row r="262" spans="1:6">
      <c r="A262" s="76" t="s">
        <v>237</v>
      </c>
      <c r="B262" s="83" t="str">
        <f>TEXT("20240610",REPT(0,8))</f>
        <v>20240610</v>
      </c>
      <c r="C262" s="83" t="s">
        <v>96</v>
      </c>
      <c r="D262" s="83" t="s">
        <v>7</v>
      </c>
      <c r="F262" s="83">
        <v>1</v>
      </c>
    </row>
    <row r="263" spans="1:6">
      <c r="A263" s="76" t="s">
        <v>237</v>
      </c>
      <c r="B263" s="83" t="str">
        <f>TEXT("20240611",REPT(0,8))</f>
        <v>20240611</v>
      </c>
      <c r="C263" s="83" t="s">
        <v>96</v>
      </c>
      <c r="D263" s="83" t="s">
        <v>7</v>
      </c>
      <c r="F263" s="83">
        <v>1</v>
      </c>
    </row>
    <row r="264" spans="1:6">
      <c r="A264" s="76" t="s">
        <v>237</v>
      </c>
      <c r="B264" s="83" t="str">
        <f>TEXT("20240612",REPT(0,8))</f>
        <v>20240612</v>
      </c>
      <c r="C264" s="83" t="s">
        <v>96</v>
      </c>
      <c r="D264" s="83" t="s">
        <v>7</v>
      </c>
      <c r="F264" s="83">
        <v>1</v>
      </c>
    </row>
    <row r="265" spans="1:6">
      <c r="A265" s="76" t="s">
        <v>237</v>
      </c>
      <c r="B265" s="83" t="str">
        <f>TEXT("20240613",REPT(0,8))</f>
        <v>20240613</v>
      </c>
      <c r="C265" s="83" t="s">
        <v>96</v>
      </c>
      <c r="D265" s="83" t="s">
        <v>7</v>
      </c>
      <c r="F265" s="83">
        <v>1</v>
      </c>
    </row>
    <row r="266" spans="1:6">
      <c r="A266" s="76" t="s">
        <v>237</v>
      </c>
      <c r="B266" s="83" t="str">
        <f>TEXT("20240614",REPT(0,8))</f>
        <v>20240614</v>
      </c>
      <c r="C266" s="83" t="s">
        <v>96</v>
      </c>
      <c r="D266" s="83" t="s">
        <v>7</v>
      </c>
      <c r="F266" s="83">
        <v>1</v>
      </c>
    </row>
    <row r="267" spans="1:6">
      <c r="A267" s="76" t="s">
        <v>237</v>
      </c>
      <c r="B267" s="83" t="str">
        <f>TEXT("20240615",REPT(0,8))</f>
        <v>20240615</v>
      </c>
      <c r="C267" s="83" t="s">
        <v>96</v>
      </c>
      <c r="D267" s="83" t="s">
        <v>7</v>
      </c>
      <c r="F267" s="83">
        <v>1</v>
      </c>
    </row>
    <row r="268" spans="1:6">
      <c r="A268" s="76" t="s">
        <v>237</v>
      </c>
      <c r="B268" s="83" t="str">
        <f>TEXT("20240616",REPT(0,8))</f>
        <v>20240616</v>
      </c>
      <c r="C268" s="83" t="s">
        <v>96</v>
      </c>
      <c r="D268" s="83" t="s">
        <v>7</v>
      </c>
      <c r="F268" s="83">
        <v>1</v>
      </c>
    </row>
    <row r="269" spans="1:6">
      <c r="A269" s="76" t="s">
        <v>237</v>
      </c>
      <c r="B269" s="83" t="str">
        <f>TEXT("20240617",REPT(0,8))</f>
        <v>20240617</v>
      </c>
      <c r="C269" s="83" t="s">
        <v>96</v>
      </c>
      <c r="D269" s="83" t="s">
        <v>7</v>
      </c>
      <c r="F269" s="83">
        <v>1</v>
      </c>
    </row>
    <row r="270" spans="1:6">
      <c r="A270" s="76" t="s">
        <v>237</v>
      </c>
      <c r="B270" s="83" t="str">
        <f>TEXT("20240618",REPT(0,8))</f>
        <v>20240618</v>
      </c>
      <c r="C270" s="83" t="s">
        <v>96</v>
      </c>
      <c r="D270" s="83" t="s">
        <v>7</v>
      </c>
      <c r="F270" s="83">
        <v>1</v>
      </c>
    </row>
    <row r="271" spans="1:6">
      <c r="A271" s="76" t="s">
        <v>237</v>
      </c>
      <c r="B271" s="83" t="str">
        <f>TEXT("20240619",REPT(0,8))</f>
        <v>20240619</v>
      </c>
      <c r="C271" s="83" t="s">
        <v>96</v>
      </c>
      <c r="D271" s="83" t="s">
        <v>7</v>
      </c>
      <c r="F271" s="83">
        <v>1</v>
      </c>
    </row>
    <row r="272" spans="1:6">
      <c r="A272" s="76" t="s">
        <v>237</v>
      </c>
      <c r="B272" s="83" t="str">
        <f>TEXT("20240620",REPT(0,8))</f>
        <v>20240620</v>
      </c>
      <c r="C272" s="83" t="s">
        <v>96</v>
      </c>
      <c r="D272" s="83" t="s">
        <v>7</v>
      </c>
      <c r="F272" s="83">
        <v>1</v>
      </c>
    </row>
    <row r="273" spans="1:6">
      <c r="A273" s="76" t="s">
        <v>237</v>
      </c>
      <c r="B273" s="83" t="str">
        <f>TEXT("20240621",REPT(0,8))</f>
        <v>20240621</v>
      </c>
      <c r="C273" s="83" t="s">
        <v>96</v>
      </c>
      <c r="D273" s="83" t="s">
        <v>7</v>
      </c>
      <c r="F273" s="83">
        <v>1</v>
      </c>
    </row>
    <row r="274" spans="1:6">
      <c r="A274" s="76" t="s">
        <v>237</v>
      </c>
      <c r="B274" s="83" t="str">
        <f>TEXT("20240622",REPT(0,8))</f>
        <v>20240622</v>
      </c>
      <c r="C274" s="83" t="s">
        <v>96</v>
      </c>
      <c r="D274" s="83" t="s">
        <v>7</v>
      </c>
      <c r="F274" s="83">
        <v>1</v>
      </c>
    </row>
    <row r="275" spans="1:6">
      <c r="A275" s="76" t="s">
        <v>237</v>
      </c>
      <c r="B275" s="83" t="str">
        <f>TEXT("20240623",REPT(0,8))</f>
        <v>20240623</v>
      </c>
      <c r="C275" s="83" t="s">
        <v>96</v>
      </c>
      <c r="D275" s="83" t="s">
        <v>7</v>
      </c>
      <c r="F275" s="83">
        <v>1</v>
      </c>
    </row>
    <row r="276" spans="1:6">
      <c r="A276" s="76" t="s">
        <v>237</v>
      </c>
      <c r="B276" s="83" t="str">
        <f>TEXT("20240624",REPT(0,8))</f>
        <v>20240624</v>
      </c>
      <c r="C276" s="83" t="s">
        <v>96</v>
      </c>
      <c r="D276" s="83" t="s">
        <v>7</v>
      </c>
      <c r="F276" s="83">
        <v>1</v>
      </c>
    </row>
    <row r="277" spans="1:6">
      <c r="A277" s="76" t="s">
        <v>237</v>
      </c>
      <c r="B277" s="83" t="str">
        <f>TEXT("20240625",REPT(0,8))</f>
        <v>20240625</v>
      </c>
      <c r="C277" s="83" t="s">
        <v>96</v>
      </c>
      <c r="D277" s="83" t="s">
        <v>7</v>
      </c>
      <c r="F277" s="83">
        <v>1</v>
      </c>
    </row>
    <row r="278" spans="1:6">
      <c r="A278" s="76" t="s">
        <v>237</v>
      </c>
      <c r="B278" s="83" t="str">
        <f>TEXT("20240626",REPT(0,8))</f>
        <v>20240626</v>
      </c>
      <c r="C278" s="83" t="s">
        <v>96</v>
      </c>
      <c r="D278" s="83" t="s">
        <v>7</v>
      </c>
      <c r="F278" s="83">
        <v>1</v>
      </c>
    </row>
    <row r="279" spans="1:6">
      <c r="A279" s="76" t="s">
        <v>237</v>
      </c>
      <c r="B279" s="83" t="str">
        <f>TEXT("20240627",REPT(0,8))</f>
        <v>20240627</v>
      </c>
      <c r="C279" s="83" t="s">
        <v>96</v>
      </c>
      <c r="D279" s="83" t="s">
        <v>7</v>
      </c>
      <c r="F279" s="83">
        <v>1</v>
      </c>
    </row>
    <row r="280" spans="1:6">
      <c r="A280" s="76" t="s">
        <v>237</v>
      </c>
      <c r="B280" s="83" t="str">
        <f>TEXT("20240706",REPT(0,8))</f>
        <v>20240706</v>
      </c>
      <c r="C280" s="83" t="s">
        <v>351</v>
      </c>
      <c r="D280" s="83" t="s">
        <v>7</v>
      </c>
      <c r="F280" s="83">
        <v>1</v>
      </c>
    </row>
    <row r="281" spans="1:6">
      <c r="A281" s="76" t="s">
        <v>237</v>
      </c>
      <c r="B281" s="83" t="str">
        <f>TEXT("20220994",REPT(0,8))</f>
        <v>20220994</v>
      </c>
      <c r="C281" s="83" t="s">
        <v>350</v>
      </c>
      <c r="D281" s="83" t="s">
        <v>7</v>
      </c>
      <c r="F281" s="83">
        <v>1</v>
      </c>
    </row>
    <row r="282" spans="1:6">
      <c r="A282" s="76" t="s">
        <v>237</v>
      </c>
      <c r="B282" s="83" t="str">
        <f>TEXT("20220995",REPT(0,8))</f>
        <v>20220995</v>
      </c>
      <c r="C282" s="83" t="s">
        <v>350</v>
      </c>
      <c r="D282" s="83" t="s">
        <v>7</v>
      </c>
      <c r="F282" s="83">
        <v>1</v>
      </c>
    </row>
    <row r="283" spans="1:6">
      <c r="A283" s="76" t="s">
        <v>237</v>
      </c>
      <c r="B283" s="83" t="str">
        <f>TEXT("20220996",REPT(0,8))</f>
        <v>20220996</v>
      </c>
      <c r="C283" s="83" t="s">
        <v>350</v>
      </c>
      <c r="D283" s="83" t="s">
        <v>7</v>
      </c>
      <c r="F283" s="83">
        <v>1</v>
      </c>
    </row>
    <row r="284" spans="1:6">
      <c r="A284" s="76" t="s">
        <v>237</v>
      </c>
      <c r="B284" s="83" t="str">
        <f>TEXT("20220997",REPT(0,8))</f>
        <v>20220997</v>
      </c>
      <c r="C284" s="83" t="s">
        <v>350</v>
      </c>
      <c r="D284" s="83" t="s">
        <v>7</v>
      </c>
      <c r="F284" s="83">
        <v>1</v>
      </c>
    </row>
    <row r="285" spans="1:6">
      <c r="A285" s="76" t="s">
        <v>237</v>
      </c>
      <c r="B285" s="83" t="str">
        <f>TEXT("20220998",REPT(0,8))</f>
        <v>20220998</v>
      </c>
      <c r="C285" s="83" t="s">
        <v>350</v>
      </c>
      <c r="D285" s="83" t="s">
        <v>7</v>
      </c>
      <c r="F285" s="83">
        <v>1</v>
      </c>
    </row>
    <row r="286" spans="1:6">
      <c r="A286" s="76" t="s">
        <v>237</v>
      </c>
      <c r="B286" s="83" t="str">
        <f>TEXT("20220999",REPT(0,8))</f>
        <v>20220999</v>
      </c>
      <c r="C286" s="83" t="s">
        <v>350</v>
      </c>
      <c r="D286" s="83" t="s">
        <v>7</v>
      </c>
      <c r="F286" s="83">
        <v>1</v>
      </c>
    </row>
    <row r="287" spans="1:6">
      <c r="A287" s="76" t="s">
        <v>237</v>
      </c>
      <c r="B287" s="83" t="str">
        <f>TEXT("20221000",REPT(0,8))</f>
        <v>20221000</v>
      </c>
      <c r="C287" s="83" t="s">
        <v>350</v>
      </c>
      <c r="D287" s="83" t="s">
        <v>7</v>
      </c>
      <c r="F287" s="83">
        <v>1</v>
      </c>
    </row>
    <row r="288" spans="1:6">
      <c r="A288" s="76" t="s">
        <v>237</v>
      </c>
      <c r="B288" s="83" t="str">
        <f>TEXT("20221001",REPT(0,8))</f>
        <v>20221001</v>
      </c>
      <c r="C288" s="83" t="s">
        <v>350</v>
      </c>
      <c r="D288" s="83" t="s">
        <v>7</v>
      </c>
      <c r="F288" s="83">
        <v>1</v>
      </c>
    </row>
    <row r="289" spans="1:6">
      <c r="A289" s="76" t="s">
        <v>237</v>
      </c>
      <c r="B289" s="83" t="str">
        <f>TEXT("20221002",REPT(0,8))</f>
        <v>20221002</v>
      </c>
      <c r="C289" s="83" t="s">
        <v>350</v>
      </c>
      <c r="D289" s="83" t="s">
        <v>7</v>
      </c>
      <c r="F289" s="83">
        <v>1</v>
      </c>
    </row>
    <row r="290" spans="1:6">
      <c r="A290" s="76" t="s">
        <v>237</v>
      </c>
      <c r="B290" s="83" t="str">
        <f>TEXT("20221003",REPT(0,8))</f>
        <v>20221003</v>
      </c>
      <c r="C290" s="83" t="s">
        <v>350</v>
      </c>
      <c r="D290" s="83" t="s">
        <v>7</v>
      </c>
      <c r="F290" s="83">
        <v>1</v>
      </c>
    </row>
    <row r="291" spans="1:6">
      <c r="A291" s="76" t="s">
        <v>237</v>
      </c>
      <c r="B291" s="83" t="str">
        <f>TEXT("20221004",REPT(0,8))</f>
        <v>20221004</v>
      </c>
      <c r="C291" s="83" t="s">
        <v>350</v>
      </c>
      <c r="D291" s="83" t="s">
        <v>7</v>
      </c>
      <c r="F291" s="83">
        <v>1</v>
      </c>
    </row>
    <row r="292" spans="1:6">
      <c r="A292" s="76" t="s">
        <v>237</v>
      </c>
      <c r="B292" s="83" t="str">
        <f>TEXT("20221005",REPT(0,8))</f>
        <v>20221005</v>
      </c>
      <c r="C292" s="83" t="s">
        <v>350</v>
      </c>
      <c r="D292" s="83" t="s">
        <v>7</v>
      </c>
      <c r="F292" s="83">
        <v>1</v>
      </c>
    </row>
    <row r="293" spans="1:6">
      <c r="A293" s="76" t="s">
        <v>237</v>
      </c>
      <c r="B293" s="83" t="str">
        <f>TEXT("20221006",REPT(0,8))</f>
        <v>20221006</v>
      </c>
      <c r="C293" s="83" t="s">
        <v>350</v>
      </c>
      <c r="D293" s="83" t="s">
        <v>7</v>
      </c>
      <c r="F293" s="83">
        <v>1</v>
      </c>
    </row>
    <row r="294" spans="1:6">
      <c r="A294" s="76" t="s">
        <v>237</v>
      </c>
      <c r="B294" s="83" t="str">
        <f>TEXT("20221007",REPT(0,8))</f>
        <v>20221007</v>
      </c>
      <c r="C294" s="83" t="s">
        <v>350</v>
      </c>
      <c r="D294" s="83" t="s">
        <v>7</v>
      </c>
      <c r="F294" s="83">
        <v>1</v>
      </c>
    </row>
    <row r="295" spans="1:6">
      <c r="A295" s="76" t="s">
        <v>237</v>
      </c>
      <c r="B295" s="83" t="str">
        <f>TEXT("20221008",REPT(0,8))</f>
        <v>20221008</v>
      </c>
      <c r="C295" s="83" t="s">
        <v>352</v>
      </c>
      <c r="D295" s="83" t="s">
        <v>7</v>
      </c>
      <c r="F295" s="83">
        <v>1</v>
      </c>
    </row>
    <row r="296" spans="1:6">
      <c r="A296" s="76" t="s">
        <v>237</v>
      </c>
      <c r="B296" s="83" t="str">
        <f>TEXT("20221009",REPT(0,8))</f>
        <v>20221009</v>
      </c>
      <c r="C296" s="83" t="s">
        <v>352</v>
      </c>
      <c r="D296" s="83" t="s">
        <v>7</v>
      </c>
      <c r="F296" s="83">
        <v>1</v>
      </c>
    </row>
    <row r="297" spans="1:6">
      <c r="A297" s="76" t="s">
        <v>237</v>
      </c>
      <c r="B297" s="83" t="str">
        <f>TEXT("20221010",REPT(0,8))</f>
        <v>20221010</v>
      </c>
      <c r="C297" s="83" t="s">
        <v>353</v>
      </c>
      <c r="D297" s="83" t="s">
        <v>7</v>
      </c>
      <c r="F297" s="83">
        <v>1</v>
      </c>
    </row>
    <row r="298" spans="1:6">
      <c r="A298" s="76" t="s">
        <v>237</v>
      </c>
      <c r="B298" s="83" t="str">
        <f>TEXT("20221011",REPT(0,8))</f>
        <v>20221011</v>
      </c>
      <c r="C298" s="83" t="s">
        <v>354</v>
      </c>
      <c r="D298" s="83" t="s">
        <v>7</v>
      </c>
      <c r="F298" s="83">
        <v>1</v>
      </c>
    </row>
    <row r="299" spans="1:6">
      <c r="A299" s="76" t="s">
        <v>237</v>
      </c>
      <c r="B299" s="83" t="str">
        <f>TEXT("20221012",REPT(0,8))</f>
        <v>20221012</v>
      </c>
      <c r="C299" s="83" t="s">
        <v>354</v>
      </c>
      <c r="D299" s="83" t="s">
        <v>7</v>
      </c>
      <c r="F299" s="83">
        <v>1</v>
      </c>
    </row>
    <row r="300" spans="1:6">
      <c r="A300" s="76" t="s">
        <v>237</v>
      </c>
      <c r="B300" s="83" t="str">
        <f>TEXT("20221013",REPT(0,8))</f>
        <v>20221013</v>
      </c>
      <c r="C300" s="83" t="s">
        <v>354</v>
      </c>
      <c r="D300" s="83" t="s">
        <v>7</v>
      </c>
      <c r="F300" s="83">
        <v>1</v>
      </c>
    </row>
    <row r="301" spans="1:6">
      <c r="A301" s="76" t="s">
        <v>237</v>
      </c>
      <c r="B301" s="83" t="str">
        <f>TEXT("20221014",REPT(0,8))</f>
        <v>20221014</v>
      </c>
      <c r="C301" s="83" t="s">
        <v>354</v>
      </c>
      <c r="D301" s="83" t="s">
        <v>7</v>
      </c>
      <c r="F301" s="83">
        <v>1</v>
      </c>
    </row>
    <row r="302" spans="1:6">
      <c r="A302" s="76" t="s">
        <v>237</v>
      </c>
      <c r="B302" s="83" t="str">
        <f>TEXT("20221015",REPT(0,8))</f>
        <v>20221015</v>
      </c>
      <c r="C302" s="83" t="s">
        <v>354</v>
      </c>
      <c r="D302" s="83" t="s">
        <v>7</v>
      </c>
      <c r="F302" s="83">
        <v>1</v>
      </c>
    </row>
    <row r="303" spans="1:6">
      <c r="A303" s="76" t="s">
        <v>237</v>
      </c>
      <c r="B303" s="83" t="str">
        <f>TEXT("20221016",REPT(0,8))</f>
        <v>20221016</v>
      </c>
      <c r="C303" s="83" t="s">
        <v>354</v>
      </c>
      <c r="D303" s="83" t="s">
        <v>7</v>
      </c>
      <c r="F303" s="83">
        <v>1</v>
      </c>
    </row>
    <row r="304" spans="1:6">
      <c r="A304" s="76" t="s">
        <v>237</v>
      </c>
      <c r="B304" s="83" t="str">
        <f>TEXT("20221017",REPT(0,8))</f>
        <v>20221017</v>
      </c>
      <c r="C304" s="83" t="s">
        <v>354</v>
      </c>
      <c r="D304" s="83" t="s">
        <v>7</v>
      </c>
      <c r="F304" s="83">
        <v>1</v>
      </c>
    </row>
    <row r="305" spans="1:6">
      <c r="A305" s="76" t="s">
        <v>237</v>
      </c>
      <c r="B305" s="83" t="str">
        <f>TEXT("20221018",REPT(0,8))</f>
        <v>20221018</v>
      </c>
      <c r="C305" s="83" t="s">
        <v>354</v>
      </c>
      <c r="D305" s="83" t="s">
        <v>7</v>
      </c>
      <c r="F305" s="83">
        <v>1</v>
      </c>
    </row>
    <row r="306" spans="1:6">
      <c r="A306" s="76" t="s">
        <v>237</v>
      </c>
      <c r="B306" s="83" t="str">
        <f>TEXT("20221019",REPT(0,8))</f>
        <v>20221019</v>
      </c>
      <c r="C306" s="83" t="s">
        <v>354</v>
      </c>
      <c r="D306" s="83" t="s">
        <v>7</v>
      </c>
      <c r="F306" s="83">
        <v>1</v>
      </c>
    </row>
    <row r="307" spans="1:6">
      <c r="A307" s="76" t="s">
        <v>237</v>
      </c>
      <c r="B307" s="83" t="str">
        <f>TEXT("20221020",REPT(0,8))</f>
        <v>20221020</v>
      </c>
      <c r="C307" s="83" t="s">
        <v>354</v>
      </c>
      <c r="D307" s="83" t="s">
        <v>7</v>
      </c>
      <c r="F307" s="83">
        <v>1</v>
      </c>
    </row>
    <row r="308" spans="1:6">
      <c r="A308" s="76" t="s">
        <v>237</v>
      </c>
      <c r="B308" s="83" t="str">
        <f>TEXT("20221021",REPT(0,8))</f>
        <v>20221021</v>
      </c>
      <c r="C308" s="83" t="s">
        <v>354</v>
      </c>
      <c r="D308" s="83" t="s">
        <v>7</v>
      </c>
      <c r="F308" s="83">
        <v>1</v>
      </c>
    </row>
    <row r="309" spans="1:6">
      <c r="A309" s="76" t="s">
        <v>237</v>
      </c>
      <c r="B309" s="83" t="str">
        <f>TEXT("20221022",REPT(0,8))</f>
        <v>20221022</v>
      </c>
      <c r="C309" s="83" t="s">
        <v>354</v>
      </c>
      <c r="D309" s="83" t="s">
        <v>7</v>
      </c>
      <c r="F309" s="83">
        <v>1</v>
      </c>
    </row>
    <row r="310" spans="1:6">
      <c r="A310" s="76" t="s">
        <v>237</v>
      </c>
      <c r="B310" s="83" t="str">
        <f>TEXT("20221023",REPT(0,8))</f>
        <v>20221023</v>
      </c>
      <c r="C310" s="83" t="s">
        <v>354</v>
      </c>
      <c r="D310" s="83" t="s">
        <v>7</v>
      </c>
      <c r="F310" s="83">
        <v>1</v>
      </c>
    </row>
    <row r="311" spans="1:6">
      <c r="A311" s="76" t="s">
        <v>237</v>
      </c>
      <c r="B311" s="83" t="str">
        <f>TEXT("20221024",REPT(0,8))</f>
        <v>20221024</v>
      </c>
      <c r="C311" s="83" t="s">
        <v>354</v>
      </c>
      <c r="D311" s="83" t="s">
        <v>7</v>
      </c>
      <c r="F311" s="83">
        <v>1</v>
      </c>
    </row>
    <row r="312" spans="1:6">
      <c r="A312" s="76" t="s">
        <v>237</v>
      </c>
      <c r="B312" s="83" t="str">
        <f>TEXT("20221025",REPT(0,8))</f>
        <v>20221025</v>
      </c>
      <c r="C312" s="83" t="s">
        <v>354</v>
      </c>
      <c r="D312" s="83" t="s">
        <v>7</v>
      </c>
      <c r="F312" s="83">
        <v>1</v>
      </c>
    </row>
    <row r="313" spans="1:6">
      <c r="A313" s="76" t="s">
        <v>237</v>
      </c>
      <c r="B313" s="83" t="str">
        <f>TEXT("20221026",REPT(0,8))</f>
        <v>20221026</v>
      </c>
      <c r="C313" s="83" t="s">
        <v>354</v>
      </c>
      <c r="D313" s="83" t="s">
        <v>7</v>
      </c>
      <c r="F313" s="83">
        <v>1</v>
      </c>
    </row>
    <row r="314" spans="1:6">
      <c r="A314" s="76" t="s">
        <v>237</v>
      </c>
      <c r="B314" s="83" t="str">
        <f>TEXT("20221027",REPT(0,8))</f>
        <v>20221027</v>
      </c>
      <c r="C314" s="83" t="s">
        <v>354</v>
      </c>
      <c r="D314" s="83" t="s">
        <v>7</v>
      </c>
      <c r="F314" s="83">
        <v>1</v>
      </c>
    </row>
    <row r="315" spans="1:6">
      <c r="A315" s="76" t="s">
        <v>237</v>
      </c>
      <c r="B315" s="83" t="str">
        <f>TEXT("20221028",REPT(0,8))</f>
        <v>20221028</v>
      </c>
      <c r="C315" s="83" t="s">
        <v>354</v>
      </c>
      <c r="D315" s="83" t="s">
        <v>7</v>
      </c>
      <c r="F315" s="83">
        <v>1</v>
      </c>
    </row>
    <row r="316" spans="1:6">
      <c r="A316" s="76" t="s">
        <v>237</v>
      </c>
      <c r="B316" s="83" t="str">
        <f>TEXT("20221029",REPT(0,8))</f>
        <v>20221029</v>
      </c>
      <c r="C316" s="83" t="s">
        <v>354</v>
      </c>
      <c r="D316" s="83" t="s">
        <v>7</v>
      </c>
      <c r="F316" s="83">
        <v>1</v>
      </c>
    </row>
    <row r="317" spans="1:6">
      <c r="A317" s="76" t="s">
        <v>237</v>
      </c>
      <c r="B317" s="83" t="str">
        <f>TEXT("20221030",REPT(0,8))</f>
        <v>20221030</v>
      </c>
      <c r="C317" s="83" t="s">
        <v>355</v>
      </c>
      <c r="D317" s="83" t="s">
        <v>7</v>
      </c>
      <c r="F317" s="83">
        <v>1</v>
      </c>
    </row>
    <row r="318" s="76" customFormat="1" spans="1:2565">
      <c r="A318" s="76" t="s">
        <v>237</v>
      </c>
      <c r="B318" s="83" t="str">
        <f>TEXT("20130150",REPT(0,8))</f>
        <v>20130150</v>
      </c>
      <c r="C318" s="83" t="s">
        <v>337</v>
      </c>
      <c r="D318" s="83" t="s">
        <v>7</v>
      </c>
      <c r="E318" s="82"/>
      <c r="F318" s="83">
        <v>1</v>
      </c>
      <c r="JA318" s="50"/>
      <c r="SW318" s="50"/>
      <c r="ACS318" s="50"/>
      <c r="AMO318" s="50"/>
      <c r="AWK318" s="50"/>
      <c r="BGG318" s="50"/>
      <c r="BQC318" s="50"/>
      <c r="BZY318" s="50"/>
      <c r="CJU318" s="50"/>
      <c r="CTQ318" s="50"/>
    </row>
    <row r="319" spans="1:6">
      <c r="A319" s="76" t="s">
        <v>237</v>
      </c>
      <c r="B319" s="83" t="str">
        <f>TEXT("20240892",REPT(0,8))</f>
        <v>20240892</v>
      </c>
      <c r="C319" s="83" t="s">
        <v>356</v>
      </c>
      <c r="D319" s="83" t="s">
        <v>7</v>
      </c>
      <c r="F319" s="83">
        <v>1</v>
      </c>
    </row>
    <row r="320" spans="1:6">
      <c r="A320" s="76" t="s">
        <v>237</v>
      </c>
      <c r="B320" s="83" t="str">
        <f>TEXT("20210952",REPT(0,8))</f>
        <v>20210952</v>
      </c>
      <c r="C320" s="83" t="s">
        <v>357</v>
      </c>
      <c r="D320" s="83" t="s">
        <v>7</v>
      </c>
      <c r="F320" s="83">
        <v>1</v>
      </c>
    </row>
    <row r="321" spans="1:6">
      <c r="A321" s="76" t="s">
        <v>237</v>
      </c>
      <c r="B321" s="83" t="str">
        <f>TEXT("20210953",REPT(0,8))</f>
        <v>20210953</v>
      </c>
      <c r="C321" s="83" t="s">
        <v>358</v>
      </c>
      <c r="D321" s="83" t="s">
        <v>7</v>
      </c>
      <c r="F321" s="83">
        <v>1</v>
      </c>
    </row>
    <row r="322" spans="1:6">
      <c r="A322" s="76" t="s">
        <v>237</v>
      </c>
      <c r="B322" s="83" t="str">
        <f>TEXT("20210954",REPT(0,8))</f>
        <v>20210954</v>
      </c>
      <c r="C322" s="83" t="s">
        <v>359</v>
      </c>
      <c r="D322" s="83" t="s">
        <v>7</v>
      </c>
      <c r="F322" s="83">
        <v>1</v>
      </c>
    </row>
    <row r="323" spans="1:6">
      <c r="A323" s="76" t="s">
        <v>237</v>
      </c>
      <c r="B323" s="83" t="str">
        <f>TEXT("20240289",REPT(0,8))</f>
        <v>20240289</v>
      </c>
      <c r="C323" s="83" t="s">
        <v>360</v>
      </c>
      <c r="D323" s="83" t="s">
        <v>7</v>
      </c>
      <c r="F323" s="83">
        <v>1</v>
      </c>
    </row>
    <row r="324" spans="1:6">
      <c r="A324" s="76" t="s">
        <v>237</v>
      </c>
      <c r="B324" s="83" t="str">
        <f>TEXT("20201279",REPT(0,8))</f>
        <v>20201279</v>
      </c>
      <c r="C324" s="83" t="s">
        <v>361</v>
      </c>
      <c r="D324" s="83" t="s">
        <v>7</v>
      </c>
      <c r="F324" s="83">
        <v>1</v>
      </c>
    </row>
    <row r="325" spans="1:6">
      <c r="A325" s="76" t="s">
        <v>237</v>
      </c>
      <c r="B325" s="83" t="str">
        <f>TEXT("20201280",REPT(0,8))</f>
        <v>20201280</v>
      </c>
      <c r="C325" s="83" t="s">
        <v>361</v>
      </c>
      <c r="D325" s="83" t="s">
        <v>7</v>
      </c>
      <c r="F325" s="83">
        <v>1</v>
      </c>
    </row>
    <row r="326" spans="1:6">
      <c r="A326" s="76" t="s">
        <v>237</v>
      </c>
      <c r="B326" s="83" t="str">
        <f>TEXT("20201171",REPT(0,8))</f>
        <v>20201171</v>
      </c>
      <c r="C326" s="83" t="s">
        <v>96</v>
      </c>
      <c r="D326" s="83" t="s">
        <v>7</v>
      </c>
      <c r="F326" s="83">
        <v>1</v>
      </c>
    </row>
    <row r="327" spans="1:6">
      <c r="A327" s="76" t="s">
        <v>237</v>
      </c>
      <c r="B327" s="83" t="str">
        <f>TEXT("20201172",REPT(0,8))</f>
        <v>20201172</v>
      </c>
      <c r="C327" s="83" t="s">
        <v>96</v>
      </c>
      <c r="D327" s="83" t="s">
        <v>7</v>
      </c>
      <c r="F327" s="83">
        <v>1</v>
      </c>
    </row>
    <row r="328" spans="1:6">
      <c r="A328" s="76" t="s">
        <v>237</v>
      </c>
      <c r="B328" s="83" t="str">
        <f>TEXT("20201173",REPT(0,8))</f>
        <v>20201173</v>
      </c>
      <c r="C328" s="83" t="s">
        <v>96</v>
      </c>
      <c r="D328" s="83" t="s">
        <v>7</v>
      </c>
      <c r="F328" s="83">
        <v>1</v>
      </c>
    </row>
    <row r="329" spans="1:6">
      <c r="A329" s="76" t="s">
        <v>237</v>
      </c>
      <c r="B329" s="83" t="str">
        <f>TEXT("20201174",REPT(0,8))</f>
        <v>20201174</v>
      </c>
      <c r="C329" s="83" t="s">
        <v>96</v>
      </c>
      <c r="D329" s="83" t="s">
        <v>7</v>
      </c>
      <c r="F329" s="83">
        <v>1</v>
      </c>
    </row>
    <row r="330" spans="1:6">
      <c r="A330" s="76" t="s">
        <v>237</v>
      </c>
      <c r="B330" s="83" t="str">
        <f>TEXT("20201175",REPT(0,8))</f>
        <v>20201175</v>
      </c>
      <c r="C330" s="83" t="s">
        <v>96</v>
      </c>
      <c r="D330" s="83" t="s">
        <v>7</v>
      </c>
      <c r="F330" s="83">
        <v>1</v>
      </c>
    </row>
    <row r="331" spans="1:6">
      <c r="A331" s="76" t="s">
        <v>237</v>
      </c>
      <c r="B331" s="83" t="str">
        <f>TEXT("20201176",REPT(0,8))</f>
        <v>20201176</v>
      </c>
      <c r="C331" s="83" t="s">
        <v>96</v>
      </c>
      <c r="D331" s="83" t="s">
        <v>7</v>
      </c>
      <c r="F331" s="83">
        <v>1</v>
      </c>
    </row>
    <row r="332" spans="1:6">
      <c r="A332" s="76" t="s">
        <v>237</v>
      </c>
      <c r="B332" s="83" t="str">
        <f>TEXT("20201177",REPT(0,8))</f>
        <v>20201177</v>
      </c>
      <c r="C332" s="83" t="s">
        <v>96</v>
      </c>
      <c r="D332" s="83" t="s">
        <v>7</v>
      </c>
      <c r="F332" s="83">
        <v>1</v>
      </c>
    </row>
    <row r="333" spans="1:6">
      <c r="A333" s="76" t="s">
        <v>237</v>
      </c>
      <c r="B333" s="83" t="str">
        <f>TEXT("20201178",REPT(0,8))</f>
        <v>20201178</v>
      </c>
      <c r="C333" s="83" t="s">
        <v>96</v>
      </c>
      <c r="D333" s="83" t="s">
        <v>7</v>
      </c>
      <c r="F333" s="83">
        <v>1</v>
      </c>
    </row>
    <row r="334" spans="1:6">
      <c r="A334" s="76" t="s">
        <v>237</v>
      </c>
      <c r="B334" s="83" t="str">
        <f>TEXT("20201179",REPT(0,8))</f>
        <v>20201179</v>
      </c>
      <c r="C334" s="83" t="s">
        <v>96</v>
      </c>
      <c r="D334" s="83" t="s">
        <v>7</v>
      </c>
      <c r="F334" s="83">
        <v>1</v>
      </c>
    </row>
    <row r="335" spans="1:6">
      <c r="A335" s="76" t="s">
        <v>237</v>
      </c>
      <c r="B335" s="83" t="str">
        <f>TEXT("20201180",REPT(0,8))</f>
        <v>20201180</v>
      </c>
      <c r="C335" s="83" t="s">
        <v>96</v>
      </c>
      <c r="D335" s="83" t="s">
        <v>7</v>
      </c>
      <c r="F335" s="83">
        <v>1</v>
      </c>
    </row>
    <row r="336" spans="1:6">
      <c r="A336" s="76" t="s">
        <v>237</v>
      </c>
      <c r="B336" s="83" t="str">
        <f>TEXT("20201181",REPT(0,8))</f>
        <v>20201181</v>
      </c>
      <c r="C336" s="83" t="s">
        <v>96</v>
      </c>
      <c r="D336" s="83" t="s">
        <v>7</v>
      </c>
      <c r="F336" s="83">
        <v>1</v>
      </c>
    </row>
    <row r="337" spans="1:6">
      <c r="A337" s="76" t="s">
        <v>237</v>
      </c>
      <c r="B337" s="83" t="str">
        <f>TEXT("20201182",REPT(0,8))</f>
        <v>20201182</v>
      </c>
      <c r="C337" s="83" t="s">
        <v>96</v>
      </c>
      <c r="D337" s="83" t="s">
        <v>7</v>
      </c>
      <c r="F337" s="83">
        <v>1</v>
      </c>
    </row>
    <row r="338" spans="1:6">
      <c r="A338" s="76" t="s">
        <v>237</v>
      </c>
      <c r="B338" s="83" t="str">
        <f>TEXT("20201183",REPT(0,8))</f>
        <v>20201183</v>
      </c>
      <c r="C338" s="83" t="s">
        <v>96</v>
      </c>
      <c r="D338" s="83" t="s">
        <v>7</v>
      </c>
      <c r="F338" s="83">
        <v>1</v>
      </c>
    </row>
    <row r="339" spans="1:6">
      <c r="A339" s="76" t="s">
        <v>237</v>
      </c>
      <c r="B339" s="83" t="str">
        <f>TEXT("20201184",REPT(0,8))</f>
        <v>20201184</v>
      </c>
      <c r="C339" s="83" t="s">
        <v>96</v>
      </c>
      <c r="D339" s="83" t="s">
        <v>7</v>
      </c>
      <c r="F339" s="83">
        <v>1</v>
      </c>
    </row>
    <row r="340" spans="1:6">
      <c r="A340" s="76" t="s">
        <v>237</v>
      </c>
      <c r="B340" s="83" t="str">
        <f>TEXT("20201185",REPT(0,8))</f>
        <v>20201185</v>
      </c>
      <c r="C340" s="83" t="s">
        <v>96</v>
      </c>
      <c r="D340" s="83" t="s">
        <v>7</v>
      </c>
      <c r="F340" s="83">
        <v>1</v>
      </c>
    </row>
    <row r="341" spans="1:6">
      <c r="A341" s="76" t="s">
        <v>237</v>
      </c>
      <c r="B341" s="83" t="str">
        <f>TEXT("20201186",REPT(0,8))</f>
        <v>20201186</v>
      </c>
      <c r="C341" s="83" t="s">
        <v>96</v>
      </c>
      <c r="D341" s="83" t="s">
        <v>7</v>
      </c>
      <c r="F341" s="83">
        <v>1</v>
      </c>
    </row>
    <row r="342" spans="1:6">
      <c r="A342" s="76" t="s">
        <v>237</v>
      </c>
      <c r="B342" s="83" t="str">
        <f>TEXT("20201187",REPT(0,8))</f>
        <v>20201187</v>
      </c>
      <c r="C342" s="83" t="s">
        <v>96</v>
      </c>
      <c r="D342" s="83" t="s">
        <v>7</v>
      </c>
      <c r="F342" s="83">
        <v>1</v>
      </c>
    </row>
    <row r="343" spans="1:6">
      <c r="A343" s="76" t="s">
        <v>237</v>
      </c>
      <c r="B343" s="83" t="str">
        <f>TEXT("20201188",REPT(0,8))</f>
        <v>20201188</v>
      </c>
      <c r="C343" s="83" t="s">
        <v>96</v>
      </c>
      <c r="D343" s="83" t="s">
        <v>7</v>
      </c>
      <c r="F343" s="83">
        <v>1</v>
      </c>
    </row>
    <row r="344" spans="1:6">
      <c r="A344" s="76" t="s">
        <v>237</v>
      </c>
      <c r="B344" s="83" t="str">
        <f>TEXT("20201189",REPT(0,8))</f>
        <v>20201189</v>
      </c>
      <c r="C344" s="83" t="s">
        <v>96</v>
      </c>
      <c r="D344" s="83" t="s">
        <v>7</v>
      </c>
      <c r="F344" s="83">
        <v>1</v>
      </c>
    </row>
    <row r="345" spans="1:6">
      <c r="A345" s="76" t="s">
        <v>237</v>
      </c>
      <c r="B345" s="83" t="str">
        <f>TEXT("20201190",REPT(0,8))</f>
        <v>20201190</v>
      </c>
      <c r="C345" s="83" t="s">
        <v>96</v>
      </c>
      <c r="D345" s="83" t="s">
        <v>7</v>
      </c>
      <c r="F345" s="83">
        <v>1</v>
      </c>
    </row>
    <row r="346" spans="1:6">
      <c r="A346" s="76" t="s">
        <v>237</v>
      </c>
      <c r="B346" s="83" t="str">
        <f>TEXT("20201191",REPT(0,8))</f>
        <v>20201191</v>
      </c>
      <c r="C346" s="83" t="s">
        <v>96</v>
      </c>
      <c r="D346" s="83" t="s">
        <v>7</v>
      </c>
      <c r="F346" s="83">
        <v>1</v>
      </c>
    </row>
    <row r="347" spans="1:6">
      <c r="A347" s="76" t="s">
        <v>237</v>
      </c>
      <c r="B347" s="83" t="str">
        <f>TEXT("20201192",REPT(0,8))</f>
        <v>20201192</v>
      </c>
      <c r="C347" s="83" t="s">
        <v>96</v>
      </c>
      <c r="D347" s="83" t="s">
        <v>7</v>
      </c>
      <c r="F347" s="83">
        <v>1</v>
      </c>
    </row>
    <row r="348" spans="1:6">
      <c r="A348" s="76" t="s">
        <v>237</v>
      </c>
      <c r="B348" s="83" t="str">
        <f>TEXT("20201193",REPT(0,8))</f>
        <v>20201193</v>
      </c>
      <c r="C348" s="83" t="s">
        <v>96</v>
      </c>
      <c r="D348" s="83" t="s">
        <v>7</v>
      </c>
      <c r="F348" s="83">
        <v>1</v>
      </c>
    </row>
    <row r="349" spans="1:6">
      <c r="A349" s="76" t="s">
        <v>237</v>
      </c>
      <c r="B349" s="83" t="str">
        <f>TEXT("20201194",REPT(0,8))</f>
        <v>20201194</v>
      </c>
      <c r="C349" s="83" t="s">
        <v>96</v>
      </c>
      <c r="D349" s="83" t="s">
        <v>7</v>
      </c>
      <c r="F349" s="83">
        <v>1</v>
      </c>
    </row>
    <row r="350" spans="1:6">
      <c r="A350" s="76" t="s">
        <v>237</v>
      </c>
      <c r="B350" s="83" t="str">
        <f>TEXT("20201195",REPT(0,8))</f>
        <v>20201195</v>
      </c>
      <c r="C350" s="83" t="s">
        <v>96</v>
      </c>
      <c r="D350" s="83" t="s">
        <v>7</v>
      </c>
      <c r="F350" s="83">
        <v>1</v>
      </c>
    </row>
    <row r="351" spans="1:6">
      <c r="A351" s="76" t="s">
        <v>237</v>
      </c>
      <c r="B351" s="83" t="str">
        <f>TEXT("20201196",REPT(0,8))</f>
        <v>20201196</v>
      </c>
      <c r="C351" s="83" t="s">
        <v>96</v>
      </c>
      <c r="D351" s="83" t="s">
        <v>7</v>
      </c>
      <c r="F351" s="83">
        <v>1</v>
      </c>
    </row>
    <row r="352" spans="1:6">
      <c r="A352" s="76" t="s">
        <v>237</v>
      </c>
      <c r="B352" s="83" t="str">
        <f>TEXT("20201197",REPT(0,8))</f>
        <v>20201197</v>
      </c>
      <c r="C352" s="83" t="s">
        <v>96</v>
      </c>
      <c r="D352" s="83" t="s">
        <v>7</v>
      </c>
      <c r="F352" s="83">
        <v>1</v>
      </c>
    </row>
    <row r="353" spans="1:6">
      <c r="A353" s="76" t="s">
        <v>237</v>
      </c>
      <c r="B353" s="83" t="str">
        <f>TEXT("20201198",REPT(0,8))</f>
        <v>20201198</v>
      </c>
      <c r="C353" s="83" t="s">
        <v>96</v>
      </c>
      <c r="D353" s="83" t="s">
        <v>7</v>
      </c>
      <c r="F353" s="83">
        <v>1</v>
      </c>
    </row>
    <row r="354" spans="1:6">
      <c r="A354" s="76" t="s">
        <v>237</v>
      </c>
      <c r="B354" s="83" t="str">
        <f>TEXT("20201199",REPT(0,8))</f>
        <v>20201199</v>
      </c>
      <c r="C354" s="83" t="s">
        <v>96</v>
      </c>
      <c r="D354" s="83" t="s">
        <v>7</v>
      </c>
      <c r="F354" s="83">
        <v>1</v>
      </c>
    </row>
    <row r="355" spans="1:6">
      <c r="A355" s="76" t="s">
        <v>237</v>
      </c>
      <c r="B355" s="83" t="str">
        <f>TEXT("20201200",REPT(0,8))</f>
        <v>20201200</v>
      </c>
      <c r="C355" s="83" t="s">
        <v>96</v>
      </c>
      <c r="D355" s="83" t="s">
        <v>7</v>
      </c>
      <c r="F355" s="83">
        <v>1</v>
      </c>
    </row>
    <row r="356" spans="1:6">
      <c r="A356" s="76" t="s">
        <v>237</v>
      </c>
      <c r="B356" s="83" t="str">
        <f>TEXT("20201201",REPT(0,8))</f>
        <v>20201201</v>
      </c>
      <c r="C356" s="83" t="s">
        <v>96</v>
      </c>
      <c r="D356" s="83" t="s">
        <v>7</v>
      </c>
      <c r="F356" s="83">
        <v>1</v>
      </c>
    </row>
    <row r="357" spans="1:6">
      <c r="A357" s="76" t="s">
        <v>237</v>
      </c>
      <c r="B357" s="83" t="str">
        <f>TEXT("20201202",REPT(0,8))</f>
        <v>20201202</v>
      </c>
      <c r="C357" s="83" t="s">
        <v>96</v>
      </c>
      <c r="D357" s="83" t="s">
        <v>7</v>
      </c>
      <c r="F357" s="83">
        <v>1</v>
      </c>
    </row>
    <row r="358" spans="1:6">
      <c r="A358" s="76" t="s">
        <v>237</v>
      </c>
      <c r="B358" s="83" t="str">
        <f>TEXT("20201203",REPT(0,8))</f>
        <v>20201203</v>
      </c>
      <c r="C358" s="83" t="s">
        <v>96</v>
      </c>
      <c r="D358" s="83" t="s">
        <v>7</v>
      </c>
      <c r="F358" s="83">
        <v>1</v>
      </c>
    </row>
    <row r="359" spans="1:6">
      <c r="A359" s="76" t="s">
        <v>237</v>
      </c>
      <c r="B359" s="83" t="str">
        <f>TEXT("20201204",REPT(0,8))</f>
        <v>20201204</v>
      </c>
      <c r="C359" s="83" t="s">
        <v>96</v>
      </c>
      <c r="D359" s="83" t="s">
        <v>7</v>
      </c>
      <c r="F359" s="83">
        <v>1</v>
      </c>
    </row>
    <row r="360" spans="1:6">
      <c r="A360" s="76" t="s">
        <v>237</v>
      </c>
      <c r="B360" s="83" t="str">
        <f>TEXT("20201205",REPT(0,8))</f>
        <v>20201205</v>
      </c>
      <c r="C360" s="83" t="s">
        <v>96</v>
      </c>
      <c r="D360" s="83" t="s">
        <v>7</v>
      </c>
      <c r="F360" s="83">
        <v>1</v>
      </c>
    </row>
    <row r="361" spans="1:6">
      <c r="A361" s="76" t="s">
        <v>237</v>
      </c>
      <c r="B361" s="83" t="str">
        <f>TEXT("20201206",REPT(0,8))</f>
        <v>20201206</v>
      </c>
      <c r="C361" s="83" t="s">
        <v>96</v>
      </c>
      <c r="D361" s="83" t="s">
        <v>7</v>
      </c>
      <c r="F361" s="83">
        <v>1</v>
      </c>
    </row>
    <row r="362" spans="1:6">
      <c r="A362" s="76" t="s">
        <v>237</v>
      </c>
      <c r="B362" s="83" t="str">
        <f>TEXT("20201207",REPT(0,8))</f>
        <v>20201207</v>
      </c>
      <c r="C362" s="83" t="s">
        <v>96</v>
      </c>
      <c r="D362" s="83" t="s">
        <v>7</v>
      </c>
      <c r="F362" s="83">
        <v>1</v>
      </c>
    </row>
    <row r="363" spans="1:6">
      <c r="A363" s="76" t="s">
        <v>237</v>
      </c>
      <c r="B363" s="83" t="str">
        <f>TEXT("20201208",REPT(0,8))</f>
        <v>20201208</v>
      </c>
      <c r="C363" s="83" t="s">
        <v>96</v>
      </c>
      <c r="D363" s="83" t="s">
        <v>7</v>
      </c>
      <c r="F363" s="83">
        <v>1</v>
      </c>
    </row>
    <row r="364" spans="1:6">
      <c r="A364" s="76" t="s">
        <v>237</v>
      </c>
      <c r="B364" s="83" t="str">
        <f>TEXT("20201209",REPT(0,8))</f>
        <v>20201209</v>
      </c>
      <c r="C364" s="83" t="s">
        <v>96</v>
      </c>
      <c r="D364" s="83" t="s">
        <v>7</v>
      </c>
      <c r="F364" s="83">
        <v>1</v>
      </c>
    </row>
    <row r="365" spans="1:6">
      <c r="A365" s="76" t="s">
        <v>237</v>
      </c>
      <c r="B365" s="83" t="str">
        <f>TEXT("20201210",REPT(0,8))</f>
        <v>20201210</v>
      </c>
      <c r="C365" s="83" t="s">
        <v>96</v>
      </c>
      <c r="D365" s="83" t="s">
        <v>7</v>
      </c>
      <c r="F365" s="83">
        <v>1</v>
      </c>
    </row>
    <row r="366" spans="1:6">
      <c r="A366" s="76" t="s">
        <v>237</v>
      </c>
      <c r="B366" s="83" t="str">
        <f>TEXT("20201211",REPT(0,8))</f>
        <v>20201211</v>
      </c>
      <c r="C366" s="83" t="s">
        <v>96</v>
      </c>
      <c r="D366" s="83" t="s">
        <v>7</v>
      </c>
      <c r="F366" s="83">
        <v>1</v>
      </c>
    </row>
    <row r="367" spans="1:6">
      <c r="A367" s="76" t="s">
        <v>237</v>
      </c>
      <c r="B367" s="83" t="str">
        <f>TEXT("20201212",REPT(0,8))</f>
        <v>20201212</v>
      </c>
      <c r="C367" s="83" t="s">
        <v>96</v>
      </c>
      <c r="D367" s="83" t="s">
        <v>7</v>
      </c>
      <c r="F367" s="83">
        <v>1</v>
      </c>
    </row>
    <row r="368" spans="1:6">
      <c r="A368" s="76" t="s">
        <v>237</v>
      </c>
      <c r="B368" s="83" t="str">
        <f>TEXT("20201213",REPT(0,8))</f>
        <v>20201213</v>
      </c>
      <c r="C368" s="83" t="s">
        <v>96</v>
      </c>
      <c r="D368" s="83" t="s">
        <v>7</v>
      </c>
      <c r="F368" s="83">
        <v>1</v>
      </c>
    </row>
    <row r="369" spans="1:6">
      <c r="A369" s="76" t="s">
        <v>237</v>
      </c>
      <c r="B369" s="83" t="str">
        <f>TEXT("20201214",REPT(0,8))</f>
        <v>20201214</v>
      </c>
      <c r="C369" s="83" t="s">
        <v>96</v>
      </c>
      <c r="D369" s="83" t="s">
        <v>7</v>
      </c>
      <c r="F369" s="83">
        <v>1</v>
      </c>
    </row>
    <row r="370" spans="1:6">
      <c r="A370" s="76" t="s">
        <v>237</v>
      </c>
      <c r="B370" s="83" t="str">
        <f>TEXT("20201215",REPT(0,8))</f>
        <v>20201215</v>
      </c>
      <c r="C370" s="83" t="s">
        <v>96</v>
      </c>
      <c r="D370" s="83" t="s">
        <v>7</v>
      </c>
      <c r="F370" s="83">
        <v>1</v>
      </c>
    </row>
    <row r="371" spans="1:6">
      <c r="A371" s="76" t="s">
        <v>237</v>
      </c>
      <c r="B371" s="83" t="str">
        <f>TEXT("20201216",REPT(0,8))</f>
        <v>20201216</v>
      </c>
      <c r="C371" s="83" t="s">
        <v>96</v>
      </c>
      <c r="D371" s="83" t="s">
        <v>7</v>
      </c>
      <c r="F371" s="83">
        <v>1</v>
      </c>
    </row>
    <row r="372" spans="1:6">
      <c r="A372" s="76" t="s">
        <v>237</v>
      </c>
      <c r="B372" s="83" t="str">
        <f>TEXT("20201217",REPT(0,8))</f>
        <v>20201217</v>
      </c>
      <c r="C372" s="83" t="s">
        <v>96</v>
      </c>
      <c r="D372" s="83" t="s">
        <v>7</v>
      </c>
      <c r="F372" s="83">
        <v>1</v>
      </c>
    </row>
    <row r="373" spans="1:6">
      <c r="A373" s="76" t="s">
        <v>237</v>
      </c>
      <c r="B373" s="83" t="str">
        <f>TEXT("20201218",REPT(0,8))</f>
        <v>20201218</v>
      </c>
      <c r="C373" s="83" t="s">
        <v>96</v>
      </c>
      <c r="D373" s="83" t="s">
        <v>7</v>
      </c>
      <c r="F373" s="83">
        <v>1</v>
      </c>
    </row>
    <row r="374" spans="1:6">
      <c r="A374" s="76" t="s">
        <v>237</v>
      </c>
      <c r="B374" s="83" t="str">
        <f>TEXT("20201219",REPT(0,8))</f>
        <v>20201219</v>
      </c>
      <c r="C374" s="83" t="s">
        <v>96</v>
      </c>
      <c r="D374" s="83" t="s">
        <v>7</v>
      </c>
      <c r="F374" s="83">
        <v>1</v>
      </c>
    </row>
    <row r="375" spans="1:6">
      <c r="A375" s="76" t="s">
        <v>237</v>
      </c>
      <c r="B375" s="83" t="str">
        <f>TEXT("20201220",REPT(0,8))</f>
        <v>20201220</v>
      </c>
      <c r="C375" s="83" t="s">
        <v>96</v>
      </c>
      <c r="D375" s="83" t="s">
        <v>7</v>
      </c>
      <c r="F375" s="83">
        <v>1</v>
      </c>
    </row>
    <row r="376" spans="1:6">
      <c r="A376" s="76" t="s">
        <v>237</v>
      </c>
      <c r="B376" s="83" t="str">
        <f>TEXT("20201221",REPT(0,8))</f>
        <v>20201221</v>
      </c>
      <c r="C376" s="83" t="s">
        <v>96</v>
      </c>
      <c r="D376" s="83" t="s">
        <v>7</v>
      </c>
      <c r="F376" s="83">
        <v>1</v>
      </c>
    </row>
    <row r="377" spans="1:6">
      <c r="A377" s="76" t="s">
        <v>237</v>
      </c>
      <c r="B377" s="83" t="str">
        <f>TEXT("20201222",REPT(0,8))</f>
        <v>20201222</v>
      </c>
      <c r="C377" s="83" t="s">
        <v>96</v>
      </c>
      <c r="D377" s="83" t="s">
        <v>7</v>
      </c>
      <c r="F377" s="83">
        <v>1</v>
      </c>
    </row>
    <row r="378" spans="1:6">
      <c r="A378" s="76" t="s">
        <v>237</v>
      </c>
      <c r="B378" s="83" t="str">
        <f>TEXT("20201223",REPT(0,8))</f>
        <v>20201223</v>
      </c>
      <c r="C378" s="83" t="s">
        <v>96</v>
      </c>
      <c r="D378" s="83" t="s">
        <v>7</v>
      </c>
      <c r="F378" s="83">
        <v>1</v>
      </c>
    </row>
    <row r="379" spans="1:6">
      <c r="A379" s="76" t="s">
        <v>237</v>
      </c>
      <c r="B379" s="83" t="str">
        <f>TEXT("20201224",REPT(0,8))</f>
        <v>20201224</v>
      </c>
      <c r="C379" s="83" t="s">
        <v>96</v>
      </c>
      <c r="D379" s="83" t="s">
        <v>7</v>
      </c>
      <c r="F379" s="83">
        <v>1</v>
      </c>
    </row>
    <row r="380" spans="1:6">
      <c r="A380" s="76" t="s">
        <v>237</v>
      </c>
      <c r="B380" s="83" t="str">
        <f>TEXT("20201225",REPT(0,8))</f>
        <v>20201225</v>
      </c>
      <c r="C380" s="83" t="s">
        <v>96</v>
      </c>
      <c r="D380" s="83" t="s">
        <v>7</v>
      </c>
      <c r="F380" s="83">
        <v>1</v>
      </c>
    </row>
    <row r="381" spans="1:6">
      <c r="A381" s="76" t="s">
        <v>237</v>
      </c>
      <c r="B381" s="83" t="str">
        <f>TEXT("20201226",REPT(0,8))</f>
        <v>20201226</v>
      </c>
      <c r="C381" s="83" t="s">
        <v>96</v>
      </c>
      <c r="D381" s="83" t="s">
        <v>7</v>
      </c>
      <c r="F381" s="83">
        <v>1</v>
      </c>
    </row>
    <row r="382" spans="1:6">
      <c r="A382" s="76" t="s">
        <v>237</v>
      </c>
      <c r="B382" s="83" t="str">
        <f>TEXT("20201227",REPT(0,8))</f>
        <v>20201227</v>
      </c>
      <c r="C382" s="83" t="s">
        <v>96</v>
      </c>
      <c r="D382" s="83" t="s">
        <v>7</v>
      </c>
      <c r="F382" s="83">
        <v>1</v>
      </c>
    </row>
    <row r="383" spans="1:6">
      <c r="A383" s="76" t="s">
        <v>237</v>
      </c>
      <c r="B383" s="83" t="str">
        <f>TEXT("20201228",REPT(0,8))</f>
        <v>20201228</v>
      </c>
      <c r="C383" s="83" t="s">
        <v>96</v>
      </c>
      <c r="D383" s="83" t="s">
        <v>7</v>
      </c>
      <c r="F383" s="83">
        <v>1</v>
      </c>
    </row>
    <row r="384" spans="1:6">
      <c r="A384" s="76" t="s">
        <v>237</v>
      </c>
      <c r="B384" s="83" t="str">
        <f>TEXT("20201229",REPT(0,8))</f>
        <v>20201229</v>
      </c>
      <c r="C384" s="83" t="s">
        <v>96</v>
      </c>
      <c r="D384" s="83" t="s">
        <v>7</v>
      </c>
      <c r="F384" s="83">
        <v>1</v>
      </c>
    </row>
    <row r="385" spans="1:6">
      <c r="A385" s="76" t="s">
        <v>237</v>
      </c>
      <c r="B385" s="83" t="str">
        <f>TEXT("20201230",REPT(0,8))</f>
        <v>20201230</v>
      </c>
      <c r="C385" s="83" t="s">
        <v>96</v>
      </c>
      <c r="D385" s="83" t="s">
        <v>7</v>
      </c>
      <c r="F385" s="83">
        <v>1</v>
      </c>
    </row>
    <row r="386" spans="1:6">
      <c r="A386" s="76" t="s">
        <v>237</v>
      </c>
      <c r="B386" s="83" t="str">
        <f>TEXT("20201231",REPT(0,8))</f>
        <v>20201231</v>
      </c>
      <c r="C386" s="83" t="s">
        <v>96</v>
      </c>
      <c r="D386" s="83" t="s">
        <v>7</v>
      </c>
      <c r="F386" s="83">
        <v>1</v>
      </c>
    </row>
    <row r="387" spans="1:6">
      <c r="A387" s="76" t="s">
        <v>237</v>
      </c>
      <c r="B387" s="83" t="str">
        <f>TEXT("20201232",REPT(0,8))</f>
        <v>20201232</v>
      </c>
      <c r="C387" s="83" t="s">
        <v>96</v>
      </c>
      <c r="D387" s="83" t="s">
        <v>7</v>
      </c>
      <c r="F387" s="83">
        <v>1</v>
      </c>
    </row>
    <row r="388" spans="1:6">
      <c r="A388" s="76" t="s">
        <v>237</v>
      </c>
      <c r="B388" s="83" t="str">
        <f>TEXT("20201233",REPT(0,8))</f>
        <v>20201233</v>
      </c>
      <c r="C388" s="83" t="s">
        <v>96</v>
      </c>
      <c r="D388" s="83" t="s">
        <v>7</v>
      </c>
      <c r="F388" s="83">
        <v>1</v>
      </c>
    </row>
    <row r="389" spans="1:6">
      <c r="A389" s="76" t="s">
        <v>237</v>
      </c>
      <c r="B389" s="83" t="str">
        <f>TEXT("20201234",REPT(0,8))</f>
        <v>20201234</v>
      </c>
      <c r="C389" s="83" t="s">
        <v>96</v>
      </c>
      <c r="D389" s="83" t="s">
        <v>7</v>
      </c>
      <c r="F389" s="83">
        <v>1</v>
      </c>
    </row>
    <row r="390" spans="1:6">
      <c r="A390" s="76" t="s">
        <v>237</v>
      </c>
      <c r="B390" s="83" t="str">
        <f>TEXT("20201235",REPT(0,8))</f>
        <v>20201235</v>
      </c>
      <c r="C390" s="83" t="s">
        <v>96</v>
      </c>
      <c r="D390" s="83" t="s">
        <v>7</v>
      </c>
      <c r="F390" s="83">
        <v>1</v>
      </c>
    </row>
    <row r="391" spans="1:6">
      <c r="A391" s="76" t="s">
        <v>237</v>
      </c>
      <c r="B391" s="83" t="str">
        <f>TEXT("20201236",REPT(0,8))</f>
        <v>20201236</v>
      </c>
      <c r="C391" s="83" t="s">
        <v>96</v>
      </c>
      <c r="D391" s="83" t="s">
        <v>7</v>
      </c>
      <c r="F391" s="83">
        <v>1</v>
      </c>
    </row>
    <row r="392" spans="1:6">
      <c r="A392" s="76" t="s">
        <v>237</v>
      </c>
      <c r="B392" s="83" t="str">
        <f>TEXT("20201237",REPT(0,8))</f>
        <v>20201237</v>
      </c>
      <c r="C392" s="83" t="s">
        <v>96</v>
      </c>
      <c r="D392" s="83" t="s">
        <v>7</v>
      </c>
      <c r="F392" s="83">
        <v>1</v>
      </c>
    </row>
    <row r="393" spans="1:6">
      <c r="A393" s="76" t="s">
        <v>237</v>
      </c>
      <c r="B393" s="83" t="str">
        <f>TEXT("20201238",REPT(0,8))</f>
        <v>20201238</v>
      </c>
      <c r="C393" s="83" t="s">
        <v>96</v>
      </c>
      <c r="D393" s="83" t="s">
        <v>7</v>
      </c>
      <c r="F393" s="83">
        <v>1</v>
      </c>
    </row>
    <row r="394" spans="1:6">
      <c r="A394" s="76" t="s">
        <v>237</v>
      </c>
      <c r="B394" s="83" t="str">
        <f>TEXT("20201239",REPT(0,8))</f>
        <v>20201239</v>
      </c>
      <c r="C394" s="83" t="s">
        <v>96</v>
      </c>
      <c r="D394" s="83" t="s">
        <v>7</v>
      </c>
      <c r="F394" s="83">
        <v>1</v>
      </c>
    </row>
    <row r="395" spans="1:6">
      <c r="A395" s="76" t="s">
        <v>237</v>
      </c>
      <c r="B395" s="83" t="str">
        <f>TEXT("20201240",REPT(0,8))</f>
        <v>20201240</v>
      </c>
      <c r="C395" s="83" t="s">
        <v>96</v>
      </c>
      <c r="D395" s="83" t="s">
        <v>7</v>
      </c>
      <c r="F395" s="83">
        <v>1</v>
      </c>
    </row>
    <row r="396" spans="1:6">
      <c r="A396" s="76" t="s">
        <v>237</v>
      </c>
      <c r="B396" s="83" t="str">
        <f>TEXT("20201241",REPT(0,8))</f>
        <v>20201241</v>
      </c>
      <c r="C396" s="83" t="s">
        <v>96</v>
      </c>
      <c r="D396" s="83" t="s">
        <v>7</v>
      </c>
      <c r="F396" s="83">
        <v>1</v>
      </c>
    </row>
    <row r="397" spans="1:6">
      <c r="A397" s="76" t="s">
        <v>237</v>
      </c>
      <c r="B397" s="83" t="str">
        <f>TEXT("20201242",REPT(0,8))</f>
        <v>20201242</v>
      </c>
      <c r="C397" s="83" t="s">
        <v>96</v>
      </c>
      <c r="D397" s="83" t="s">
        <v>7</v>
      </c>
      <c r="F397" s="83">
        <v>1</v>
      </c>
    </row>
    <row r="398" spans="1:6">
      <c r="A398" s="76" t="s">
        <v>237</v>
      </c>
      <c r="B398" s="83" t="str">
        <f>TEXT("20201243",REPT(0,8))</f>
        <v>20201243</v>
      </c>
      <c r="C398" s="83" t="s">
        <v>96</v>
      </c>
      <c r="D398" s="83" t="s">
        <v>7</v>
      </c>
      <c r="F398" s="83">
        <v>1</v>
      </c>
    </row>
    <row r="399" spans="1:6">
      <c r="A399" s="76" t="s">
        <v>237</v>
      </c>
      <c r="B399" s="83" t="str">
        <f>TEXT("20201244",REPT(0,8))</f>
        <v>20201244</v>
      </c>
      <c r="C399" s="83" t="s">
        <v>96</v>
      </c>
      <c r="D399" s="83" t="s">
        <v>7</v>
      </c>
      <c r="F399" s="83">
        <v>1</v>
      </c>
    </row>
    <row r="400" spans="1:6">
      <c r="A400" s="76" t="s">
        <v>237</v>
      </c>
      <c r="B400" s="83" t="str">
        <f>TEXT("20201245",REPT(0,8))</f>
        <v>20201245</v>
      </c>
      <c r="C400" s="83" t="s">
        <v>96</v>
      </c>
      <c r="D400" s="83" t="s">
        <v>7</v>
      </c>
      <c r="F400" s="83">
        <v>1</v>
      </c>
    </row>
    <row r="401" spans="1:6">
      <c r="A401" s="76" t="s">
        <v>237</v>
      </c>
      <c r="B401" s="83" t="str">
        <f>TEXT("20201246",REPT(0,8))</f>
        <v>20201246</v>
      </c>
      <c r="C401" s="83" t="s">
        <v>96</v>
      </c>
      <c r="D401" s="83" t="s">
        <v>7</v>
      </c>
      <c r="F401" s="83">
        <v>1</v>
      </c>
    </row>
    <row r="402" spans="1:6">
      <c r="A402" s="76" t="s">
        <v>237</v>
      </c>
      <c r="B402" s="83" t="str">
        <f>TEXT("20201247",REPT(0,8))</f>
        <v>20201247</v>
      </c>
      <c r="C402" s="83" t="s">
        <v>96</v>
      </c>
      <c r="D402" s="83" t="s">
        <v>7</v>
      </c>
      <c r="F402" s="83">
        <v>1</v>
      </c>
    </row>
    <row r="403" spans="1:6">
      <c r="A403" s="76" t="s">
        <v>237</v>
      </c>
      <c r="B403" s="83" t="str">
        <f>TEXT("20201248",REPT(0,8))</f>
        <v>20201248</v>
      </c>
      <c r="C403" s="83" t="s">
        <v>96</v>
      </c>
      <c r="D403" s="83" t="s">
        <v>7</v>
      </c>
      <c r="F403" s="83">
        <v>1</v>
      </c>
    </row>
    <row r="404" spans="1:6">
      <c r="A404" s="76" t="s">
        <v>237</v>
      </c>
      <c r="B404" s="83" t="str">
        <f>TEXT("20201249",REPT(0,8))</f>
        <v>20201249</v>
      </c>
      <c r="C404" s="83" t="s">
        <v>96</v>
      </c>
      <c r="D404" s="83" t="s">
        <v>7</v>
      </c>
      <c r="F404" s="83">
        <v>1</v>
      </c>
    </row>
    <row r="405" spans="1:6">
      <c r="A405" s="76" t="s">
        <v>237</v>
      </c>
      <c r="B405" s="83" t="str">
        <f>TEXT("20201250",REPT(0,8))</f>
        <v>20201250</v>
      </c>
      <c r="C405" s="83" t="s">
        <v>96</v>
      </c>
      <c r="D405" s="83" t="s">
        <v>7</v>
      </c>
      <c r="F405" s="83">
        <v>1</v>
      </c>
    </row>
    <row r="406" spans="1:6">
      <c r="A406" s="76" t="s">
        <v>237</v>
      </c>
      <c r="B406" s="83" t="str">
        <f>TEXT("20201251",REPT(0,8))</f>
        <v>20201251</v>
      </c>
      <c r="C406" s="83" t="s">
        <v>96</v>
      </c>
      <c r="D406" s="83" t="s">
        <v>7</v>
      </c>
      <c r="F406" s="83">
        <v>1</v>
      </c>
    </row>
    <row r="407" spans="1:6">
      <c r="A407" s="76" t="s">
        <v>237</v>
      </c>
      <c r="B407" s="83" t="str">
        <f>TEXT("20201252",REPT(0,8))</f>
        <v>20201252</v>
      </c>
      <c r="C407" s="83" t="s">
        <v>96</v>
      </c>
      <c r="D407" s="83" t="s">
        <v>7</v>
      </c>
      <c r="F407" s="83">
        <v>1</v>
      </c>
    </row>
    <row r="408" spans="1:6">
      <c r="A408" s="76" t="s">
        <v>237</v>
      </c>
      <c r="B408" s="83" t="str">
        <f>TEXT("20201253",REPT(0,8))</f>
        <v>20201253</v>
      </c>
      <c r="C408" s="83" t="s">
        <v>96</v>
      </c>
      <c r="D408" s="83" t="s">
        <v>7</v>
      </c>
      <c r="F408" s="83">
        <v>1</v>
      </c>
    </row>
    <row r="409" spans="1:6">
      <c r="A409" s="76" t="s">
        <v>237</v>
      </c>
      <c r="B409" s="83" t="str">
        <f>TEXT("20201254",REPT(0,8))</f>
        <v>20201254</v>
      </c>
      <c r="C409" s="83" t="s">
        <v>96</v>
      </c>
      <c r="D409" s="83" t="s">
        <v>7</v>
      </c>
      <c r="F409" s="83">
        <v>1</v>
      </c>
    </row>
    <row r="410" spans="1:6">
      <c r="A410" s="76" t="s">
        <v>237</v>
      </c>
      <c r="B410" s="83" t="str">
        <f>TEXT("20201255",REPT(0,8))</f>
        <v>20201255</v>
      </c>
      <c r="C410" s="83" t="s">
        <v>96</v>
      </c>
      <c r="D410" s="83" t="s">
        <v>7</v>
      </c>
      <c r="F410" s="83">
        <v>1</v>
      </c>
    </row>
    <row r="411" spans="1:6">
      <c r="A411" s="76" t="s">
        <v>237</v>
      </c>
      <c r="B411" s="83" t="str">
        <f>TEXT("20201256",REPT(0,8))</f>
        <v>20201256</v>
      </c>
      <c r="C411" s="83" t="s">
        <v>96</v>
      </c>
      <c r="D411" s="83" t="s">
        <v>7</v>
      </c>
      <c r="F411" s="83">
        <v>1</v>
      </c>
    </row>
    <row r="412" spans="1:6">
      <c r="A412" s="76" t="s">
        <v>237</v>
      </c>
      <c r="B412" s="83" t="str">
        <f>TEXT("20201257",REPT(0,8))</f>
        <v>20201257</v>
      </c>
      <c r="C412" s="83" t="s">
        <v>96</v>
      </c>
      <c r="D412" s="83" t="s">
        <v>7</v>
      </c>
      <c r="F412" s="83">
        <v>1</v>
      </c>
    </row>
    <row r="413" spans="1:6">
      <c r="A413" s="76" t="s">
        <v>237</v>
      </c>
      <c r="B413" s="83" t="str">
        <f>TEXT("20201258",REPT(0,8))</f>
        <v>20201258</v>
      </c>
      <c r="C413" s="83" t="s">
        <v>96</v>
      </c>
      <c r="D413" s="83" t="s">
        <v>7</v>
      </c>
      <c r="F413" s="83">
        <v>1</v>
      </c>
    </row>
    <row r="414" spans="1:6">
      <c r="A414" s="76" t="s">
        <v>237</v>
      </c>
      <c r="B414" s="83" t="str">
        <f>TEXT("20201259",REPT(0,8))</f>
        <v>20201259</v>
      </c>
      <c r="C414" s="83" t="s">
        <v>96</v>
      </c>
      <c r="D414" s="83" t="s">
        <v>7</v>
      </c>
      <c r="F414" s="83">
        <v>1</v>
      </c>
    </row>
    <row r="415" spans="1:6">
      <c r="A415" s="76" t="s">
        <v>237</v>
      </c>
      <c r="B415" s="83" t="str">
        <f>TEXT("20201260",REPT(0,8))</f>
        <v>20201260</v>
      </c>
      <c r="C415" s="83" t="s">
        <v>96</v>
      </c>
      <c r="D415" s="83" t="s">
        <v>7</v>
      </c>
      <c r="F415" s="83">
        <v>1</v>
      </c>
    </row>
    <row r="416" spans="1:6">
      <c r="A416" s="76" t="s">
        <v>237</v>
      </c>
      <c r="B416" s="83" t="str">
        <f>TEXT("20201261",REPT(0,8))</f>
        <v>20201261</v>
      </c>
      <c r="C416" s="83" t="s">
        <v>96</v>
      </c>
      <c r="D416" s="83" t="s">
        <v>7</v>
      </c>
      <c r="F416" s="83">
        <v>1</v>
      </c>
    </row>
    <row r="417" spans="1:6">
      <c r="A417" s="76" t="s">
        <v>237</v>
      </c>
      <c r="B417" s="83" t="str">
        <f>TEXT("20201262",REPT(0,8))</f>
        <v>20201262</v>
      </c>
      <c r="C417" s="83" t="s">
        <v>96</v>
      </c>
      <c r="D417" s="83" t="s">
        <v>7</v>
      </c>
      <c r="F417" s="83">
        <v>1</v>
      </c>
    </row>
    <row r="418" spans="1:6">
      <c r="A418" s="76" t="s">
        <v>237</v>
      </c>
      <c r="B418" s="83" t="str">
        <f>TEXT("20201263",REPT(0,8))</f>
        <v>20201263</v>
      </c>
      <c r="C418" s="83" t="s">
        <v>96</v>
      </c>
      <c r="D418" s="83" t="s">
        <v>7</v>
      </c>
      <c r="F418" s="83">
        <v>1</v>
      </c>
    </row>
    <row r="419" spans="1:6">
      <c r="A419" s="76" t="s">
        <v>237</v>
      </c>
      <c r="B419" s="83" t="str">
        <f>TEXT("20201264",REPT(0,8))</f>
        <v>20201264</v>
      </c>
      <c r="C419" s="83" t="s">
        <v>96</v>
      </c>
      <c r="D419" s="83" t="s">
        <v>7</v>
      </c>
      <c r="F419" s="83">
        <v>1</v>
      </c>
    </row>
    <row r="420" spans="1:6">
      <c r="A420" s="76" t="s">
        <v>237</v>
      </c>
      <c r="B420" s="83" t="str">
        <f>TEXT("20201265",REPT(0,8))</f>
        <v>20201265</v>
      </c>
      <c r="C420" s="83" t="s">
        <v>96</v>
      </c>
      <c r="D420" s="83" t="s">
        <v>7</v>
      </c>
      <c r="F420" s="83">
        <v>1</v>
      </c>
    </row>
    <row r="421" spans="1:6">
      <c r="A421" s="76" t="s">
        <v>237</v>
      </c>
      <c r="B421" s="83" t="str">
        <f>TEXT("20201266",REPT(0,8))</f>
        <v>20201266</v>
      </c>
      <c r="C421" s="83" t="s">
        <v>96</v>
      </c>
      <c r="D421" s="83" t="s">
        <v>7</v>
      </c>
      <c r="F421" s="83">
        <v>1</v>
      </c>
    </row>
    <row r="422" spans="1:6">
      <c r="A422" s="76" t="s">
        <v>237</v>
      </c>
      <c r="B422" s="83" t="str">
        <f>TEXT("20201267",REPT(0,8))</f>
        <v>20201267</v>
      </c>
      <c r="C422" s="83" t="s">
        <v>96</v>
      </c>
      <c r="D422" s="83" t="s">
        <v>7</v>
      </c>
      <c r="F422" s="83">
        <v>1</v>
      </c>
    </row>
    <row r="423" spans="1:6">
      <c r="A423" s="76" t="s">
        <v>237</v>
      </c>
      <c r="B423" s="83" t="str">
        <f>TEXT("20201268",REPT(0,8))</f>
        <v>20201268</v>
      </c>
      <c r="C423" s="83" t="s">
        <v>96</v>
      </c>
      <c r="D423" s="83" t="s">
        <v>7</v>
      </c>
      <c r="F423" s="83">
        <v>1</v>
      </c>
    </row>
    <row r="424" spans="1:6">
      <c r="A424" s="76" t="s">
        <v>237</v>
      </c>
      <c r="B424" s="83" t="str">
        <f>TEXT("20201269",REPT(0,8))</f>
        <v>20201269</v>
      </c>
      <c r="C424" s="83" t="s">
        <v>96</v>
      </c>
      <c r="D424" s="83" t="s">
        <v>7</v>
      </c>
      <c r="F424" s="83">
        <v>1</v>
      </c>
    </row>
    <row r="425" spans="1:6">
      <c r="A425" s="76" t="s">
        <v>237</v>
      </c>
      <c r="B425" s="83" t="str">
        <f>TEXT("20201270",REPT(0,8))</f>
        <v>20201270</v>
      </c>
      <c r="C425" s="83" t="s">
        <v>96</v>
      </c>
      <c r="D425" s="83" t="s">
        <v>7</v>
      </c>
      <c r="F425" s="83">
        <v>1</v>
      </c>
    </row>
    <row r="426" spans="1:6">
      <c r="A426" s="76" t="s">
        <v>237</v>
      </c>
      <c r="B426" s="83" t="str">
        <f>TEXT("20201271",REPT(0,8))</f>
        <v>20201271</v>
      </c>
      <c r="C426" s="83" t="s">
        <v>96</v>
      </c>
      <c r="D426" s="83" t="s">
        <v>7</v>
      </c>
      <c r="F426" s="83">
        <v>1</v>
      </c>
    </row>
    <row r="427" spans="1:6">
      <c r="A427" s="76" t="s">
        <v>237</v>
      </c>
      <c r="B427" s="83" t="str">
        <f>TEXT("20201272",REPT(0,8))</f>
        <v>20201272</v>
      </c>
      <c r="C427" s="83" t="s">
        <v>96</v>
      </c>
      <c r="D427" s="83" t="s">
        <v>7</v>
      </c>
      <c r="F427" s="83">
        <v>1</v>
      </c>
    </row>
    <row r="428" spans="1:6">
      <c r="A428" s="76" t="s">
        <v>237</v>
      </c>
      <c r="B428" s="83" t="str">
        <f>TEXT("20201273",REPT(0,8))</f>
        <v>20201273</v>
      </c>
      <c r="C428" s="83" t="s">
        <v>96</v>
      </c>
      <c r="D428" s="83" t="s">
        <v>7</v>
      </c>
      <c r="F428" s="83">
        <v>1</v>
      </c>
    </row>
    <row r="429" spans="1:6">
      <c r="A429" s="76" t="s">
        <v>237</v>
      </c>
      <c r="B429" s="83" t="str">
        <f>TEXT("20201274",REPT(0,8))</f>
        <v>20201274</v>
      </c>
      <c r="C429" s="83" t="s">
        <v>96</v>
      </c>
      <c r="D429" s="83" t="s">
        <v>7</v>
      </c>
      <c r="F429" s="83">
        <v>1</v>
      </c>
    </row>
    <row r="430" spans="1:6">
      <c r="A430" s="76" t="s">
        <v>237</v>
      </c>
      <c r="B430" s="83" t="str">
        <f>TEXT("20201275",REPT(0,8))</f>
        <v>20201275</v>
      </c>
      <c r="C430" s="83" t="s">
        <v>96</v>
      </c>
      <c r="D430" s="83" t="s">
        <v>7</v>
      </c>
      <c r="F430" s="83">
        <v>1</v>
      </c>
    </row>
    <row r="431" spans="1:6">
      <c r="A431" s="76" t="s">
        <v>237</v>
      </c>
      <c r="B431" s="83" t="str">
        <f>TEXT("20201276",REPT(0,8))</f>
        <v>20201276</v>
      </c>
      <c r="C431" s="83" t="s">
        <v>96</v>
      </c>
      <c r="D431" s="83" t="s">
        <v>7</v>
      </c>
      <c r="F431" s="83">
        <v>1</v>
      </c>
    </row>
    <row r="432" spans="1:6">
      <c r="A432" s="76" t="s">
        <v>237</v>
      </c>
      <c r="B432" s="83" t="str">
        <f>TEXT("20201277",REPT(0,8))</f>
        <v>20201277</v>
      </c>
      <c r="C432" s="83" t="s">
        <v>96</v>
      </c>
      <c r="D432" s="83" t="s">
        <v>7</v>
      </c>
      <c r="F432" s="83">
        <v>1</v>
      </c>
    </row>
    <row r="433" spans="1:6">
      <c r="A433" s="76" t="s">
        <v>237</v>
      </c>
      <c r="B433" s="83" t="str">
        <f>TEXT("20201278",REPT(0,8))</f>
        <v>20201278</v>
      </c>
      <c r="C433" s="83" t="s">
        <v>96</v>
      </c>
      <c r="D433" s="83" t="s">
        <v>7</v>
      </c>
      <c r="F433" s="83">
        <v>1</v>
      </c>
    </row>
    <row r="434" spans="1:6">
      <c r="A434" s="76" t="s">
        <v>237</v>
      </c>
      <c r="B434" s="83" t="str">
        <f>TEXT("20201281",REPT(0,8))</f>
        <v>20201281</v>
      </c>
      <c r="C434" s="83" t="s">
        <v>361</v>
      </c>
      <c r="D434" s="83" t="s">
        <v>7</v>
      </c>
      <c r="F434" s="83">
        <v>1</v>
      </c>
    </row>
    <row r="435" spans="1:6">
      <c r="A435" s="76" t="s">
        <v>237</v>
      </c>
      <c r="B435" s="83" t="str">
        <f>TEXT("20150022",REPT(0,8))</f>
        <v>20150022</v>
      </c>
      <c r="C435" s="83" t="s">
        <v>362</v>
      </c>
      <c r="D435" s="83" t="s">
        <v>7</v>
      </c>
      <c r="F435" s="83">
        <v>1</v>
      </c>
    </row>
    <row r="436" spans="1:6">
      <c r="A436" s="76" t="s">
        <v>237</v>
      </c>
      <c r="B436" s="83" t="str">
        <f>TEXT("20120412",REPT(0,8))</f>
        <v>20120412</v>
      </c>
      <c r="C436" s="83" t="s">
        <v>363</v>
      </c>
      <c r="D436" s="83" t="s">
        <v>7</v>
      </c>
      <c r="F436" s="83">
        <v>1</v>
      </c>
    </row>
    <row r="437" spans="1:6">
      <c r="A437" s="76" t="s">
        <v>237</v>
      </c>
      <c r="B437" s="83" t="str">
        <f>TEXT("20140713",REPT(0,8))</f>
        <v>20140713</v>
      </c>
      <c r="C437" s="83" t="s">
        <v>220</v>
      </c>
      <c r="D437" s="83" t="s">
        <v>7</v>
      </c>
      <c r="F437" s="83">
        <v>1</v>
      </c>
    </row>
    <row r="438" spans="1:6">
      <c r="A438" s="76" t="s">
        <v>237</v>
      </c>
      <c r="B438" s="83" t="str">
        <f>TEXT("20140773",REPT(0,8))</f>
        <v>20140773</v>
      </c>
      <c r="C438" s="83" t="s">
        <v>49</v>
      </c>
      <c r="D438" s="83" t="s">
        <v>7</v>
      </c>
      <c r="F438" s="83">
        <v>1</v>
      </c>
    </row>
    <row r="439" spans="1:6">
      <c r="A439" s="76" t="s">
        <v>237</v>
      </c>
      <c r="B439" s="83" t="str">
        <f>TEXT("20130099",REPT(0,8))</f>
        <v>20130099</v>
      </c>
      <c r="C439" s="83" t="s">
        <v>364</v>
      </c>
      <c r="D439" s="83" t="s">
        <v>7</v>
      </c>
      <c r="F439" s="83">
        <v>1</v>
      </c>
    </row>
    <row r="440" spans="1:6">
      <c r="A440" s="76" t="s">
        <v>237</v>
      </c>
      <c r="B440" s="83" t="str">
        <f>TEXT("20150033",REPT(0,8))</f>
        <v>20150033</v>
      </c>
      <c r="C440" s="83" t="s">
        <v>95</v>
      </c>
      <c r="D440" s="83" t="s">
        <v>7</v>
      </c>
      <c r="F440" s="83">
        <v>1</v>
      </c>
    </row>
    <row r="441" spans="1:6">
      <c r="A441" s="76" t="s">
        <v>237</v>
      </c>
      <c r="B441" s="83" t="str">
        <f>TEXT("20150034",REPT(0,8))</f>
        <v>20150034</v>
      </c>
      <c r="C441" s="83" t="s">
        <v>95</v>
      </c>
      <c r="D441" s="83" t="s">
        <v>7</v>
      </c>
      <c r="F441" s="83">
        <v>1</v>
      </c>
    </row>
    <row r="442" spans="1:6">
      <c r="A442" s="76" t="s">
        <v>237</v>
      </c>
      <c r="B442" s="83" t="str">
        <f>TEXT("20150035",REPT(0,8))</f>
        <v>20150035</v>
      </c>
      <c r="C442" s="83" t="s">
        <v>95</v>
      </c>
      <c r="D442" s="83" t="s">
        <v>7</v>
      </c>
      <c r="F442" s="83">
        <v>1</v>
      </c>
    </row>
    <row r="443" spans="1:6">
      <c r="A443" s="76" t="s">
        <v>237</v>
      </c>
      <c r="B443" s="83" t="str">
        <f>TEXT("20150128",REPT(0,8))</f>
        <v>20150128</v>
      </c>
      <c r="C443" s="83" t="s">
        <v>365</v>
      </c>
      <c r="D443" s="83" t="s">
        <v>7</v>
      </c>
      <c r="F443" s="83">
        <v>1</v>
      </c>
    </row>
    <row r="444" spans="1:6">
      <c r="A444" s="76" t="s">
        <v>237</v>
      </c>
      <c r="B444" s="83" t="str">
        <f>TEXT("20201154",REPT(0,8))</f>
        <v>20201154</v>
      </c>
      <c r="C444" s="83" t="s">
        <v>366</v>
      </c>
      <c r="D444" s="83" t="s">
        <v>7</v>
      </c>
      <c r="F444" s="83">
        <v>1</v>
      </c>
    </row>
    <row r="445" spans="1:6">
      <c r="A445" s="76" t="s">
        <v>237</v>
      </c>
      <c r="B445" s="83" t="str">
        <f>TEXT("20160210",REPT(0,8))</f>
        <v>20160210</v>
      </c>
      <c r="C445" s="83" t="s">
        <v>367</v>
      </c>
      <c r="D445" s="83" t="s">
        <v>7</v>
      </c>
      <c r="F445" s="83">
        <v>1</v>
      </c>
    </row>
    <row r="446" spans="1:6">
      <c r="A446" s="76" t="s">
        <v>237</v>
      </c>
      <c r="B446" s="83" t="str">
        <f>TEXT("20211509",REPT(0,8))</f>
        <v>20211509</v>
      </c>
      <c r="C446" s="83" t="s">
        <v>368</v>
      </c>
      <c r="D446" s="83" t="s">
        <v>7</v>
      </c>
      <c r="F446" s="83">
        <v>1</v>
      </c>
    </row>
    <row r="447" spans="1:6">
      <c r="A447" s="76" t="s">
        <v>237</v>
      </c>
      <c r="B447" s="83" t="str">
        <f>TEXT("20211510",REPT(0,8))</f>
        <v>20211510</v>
      </c>
      <c r="C447" s="83" t="s">
        <v>369</v>
      </c>
      <c r="D447" s="83" t="s">
        <v>7</v>
      </c>
      <c r="F447" s="83">
        <v>1</v>
      </c>
    </row>
    <row r="448" spans="1:6">
      <c r="A448" s="76" t="s">
        <v>237</v>
      </c>
      <c r="B448" s="83" t="str">
        <f>TEXT("20211511",REPT(0,8))</f>
        <v>20211511</v>
      </c>
      <c r="C448" s="83" t="s">
        <v>370</v>
      </c>
      <c r="D448" s="83" t="s">
        <v>7</v>
      </c>
      <c r="F448" s="83">
        <v>1</v>
      </c>
    </row>
    <row r="449" s="50" customFormat="1" spans="1:6">
      <c r="A449" s="76" t="s">
        <v>237</v>
      </c>
      <c r="B449" s="73" t="str">
        <f>TEXT("20121157",REPT(0,8))</f>
        <v>20121157</v>
      </c>
      <c r="C449" s="73" t="s">
        <v>96</v>
      </c>
      <c r="D449" s="72" t="s">
        <v>7</v>
      </c>
      <c r="E449" s="82"/>
      <c r="F449" s="83">
        <v>1</v>
      </c>
    </row>
    <row r="450" s="50" customFormat="1" spans="1:6">
      <c r="A450" s="76" t="s">
        <v>237</v>
      </c>
      <c r="B450" s="73" t="str">
        <f>TEXT("20121161",REPT(0,8))</f>
        <v>20121161</v>
      </c>
      <c r="C450" s="73" t="s">
        <v>96</v>
      </c>
      <c r="D450" s="72" t="s">
        <v>7</v>
      </c>
      <c r="E450" s="82"/>
      <c r="F450" s="83">
        <v>1</v>
      </c>
    </row>
    <row r="451" s="50" customFormat="1" spans="1:6">
      <c r="A451" s="76" t="s">
        <v>237</v>
      </c>
      <c r="B451" s="73" t="str">
        <f>TEXT("20121163",REPT(0,8))</f>
        <v>20121163</v>
      </c>
      <c r="C451" s="73" t="s">
        <v>96</v>
      </c>
      <c r="D451" s="72" t="s">
        <v>7</v>
      </c>
      <c r="E451" s="82"/>
      <c r="F451" s="83">
        <v>1</v>
      </c>
    </row>
    <row r="452" s="50" customFormat="1" spans="1:6">
      <c r="A452" s="76" t="s">
        <v>237</v>
      </c>
      <c r="B452" s="73" t="str">
        <f>TEXT("20121178",REPT(0,8))</f>
        <v>20121178</v>
      </c>
      <c r="C452" s="73" t="s">
        <v>96</v>
      </c>
      <c r="D452" s="72" t="s">
        <v>7</v>
      </c>
      <c r="E452" s="82"/>
      <c r="F452" s="83">
        <v>1</v>
      </c>
    </row>
    <row r="453" s="50" customFormat="1" spans="1:6">
      <c r="A453" s="76" t="s">
        <v>237</v>
      </c>
      <c r="B453" s="73" t="str">
        <f>TEXT("20121184",REPT(0,8))</f>
        <v>20121184</v>
      </c>
      <c r="C453" s="73" t="s">
        <v>96</v>
      </c>
      <c r="D453" s="72" t="s">
        <v>7</v>
      </c>
      <c r="E453" s="82"/>
      <c r="F453" s="83">
        <v>1</v>
      </c>
    </row>
    <row r="454" s="50" customFormat="1" spans="1:6">
      <c r="A454" s="76" t="s">
        <v>237</v>
      </c>
      <c r="B454" s="73" t="str">
        <f>TEXT("20121189",REPT(0,8))</f>
        <v>20121189</v>
      </c>
      <c r="C454" s="73" t="s">
        <v>96</v>
      </c>
      <c r="D454" s="72" t="s">
        <v>7</v>
      </c>
      <c r="E454" s="82"/>
      <c r="F454" s="83">
        <v>1</v>
      </c>
    </row>
    <row r="455" s="50" customFormat="1" spans="1:6">
      <c r="A455" s="76" t="s">
        <v>237</v>
      </c>
      <c r="B455" s="73" t="str">
        <f>TEXT("20121190",REPT(0,8))</f>
        <v>20121190</v>
      </c>
      <c r="C455" s="73" t="s">
        <v>96</v>
      </c>
      <c r="D455" s="72" t="s">
        <v>7</v>
      </c>
      <c r="E455" s="82"/>
      <c r="F455" s="83">
        <v>1</v>
      </c>
    </row>
    <row r="456" s="50" customFormat="1" spans="1:6">
      <c r="A456" s="76" t="s">
        <v>237</v>
      </c>
      <c r="B456" s="73" t="str">
        <f>TEXT("20121191",REPT(0,8))</f>
        <v>20121191</v>
      </c>
      <c r="C456" s="73" t="s">
        <v>96</v>
      </c>
      <c r="D456" s="72" t="s">
        <v>7</v>
      </c>
      <c r="E456" s="82"/>
      <c r="F456" s="83">
        <v>1</v>
      </c>
    </row>
    <row r="457" s="50" customFormat="1" spans="1:6">
      <c r="A457" s="76" t="s">
        <v>237</v>
      </c>
      <c r="B457" s="73" t="str">
        <f>TEXT("20121198",REPT(0,8))</f>
        <v>20121198</v>
      </c>
      <c r="C457" s="73" t="s">
        <v>96</v>
      </c>
      <c r="D457" s="72" t="s">
        <v>7</v>
      </c>
      <c r="E457" s="82"/>
      <c r="F457" s="83">
        <v>1</v>
      </c>
    </row>
    <row r="458" s="50" customFormat="1" spans="1:6">
      <c r="A458" s="76" t="s">
        <v>237</v>
      </c>
      <c r="B458" s="73" t="str">
        <f>TEXT("20121199",REPT(0,8))</f>
        <v>20121199</v>
      </c>
      <c r="C458" s="73" t="s">
        <v>96</v>
      </c>
      <c r="D458" s="72" t="s">
        <v>7</v>
      </c>
      <c r="E458" s="82"/>
      <c r="F458" s="83">
        <v>1</v>
      </c>
    </row>
    <row r="459" s="50" customFormat="1" spans="1:6">
      <c r="A459" s="76" t="s">
        <v>237</v>
      </c>
      <c r="B459" s="73" t="str">
        <f>TEXT("20140967",REPT(0,8))</f>
        <v>20140967</v>
      </c>
      <c r="C459" s="73" t="s">
        <v>96</v>
      </c>
      <c r="D459" s="72" t="s">
        <v>7</v>
      </c>
      <c r="E459" s="47" t="s">
        <v>371</v>
      </c>
      <c r="F459" s="83">
        <v>1</v>
      </c>
    </row>
    <row r="460" s="50" customFormat="1" spans="1:6">
      <c r="A460" s="76" t="s">
        <v>237</v>
      </c>
      <c r="B460" s="73" t="str">
        <f>TEXT("20140979",REPT(0,8))</f>
        <v>20140979</v>
      </c>
      <c r="C460" s="73" t="s">
        <v>96</v>
      </c>
      <c r="D460" s="72" t="s">
        <v>7</v>
      </c>
      <c r="E460" s="47" t="s">
        <v>371</v>
      </c>
      <c r="F460" s="83">
        <v>1</v>
      </c>
    </row>
    <row r="461" s="50" customFormat="1" spans="1:6">
      <c r="A461" s="76" t="s">
        <v>237</v>
      </c>
      <c r="B461" s="73" t="str">
        <f>TEXT("20140975",REPT(0,8))</f>
        <v>20140975</v>
      </c>
      <c r="C461" s="73" t="s">
        <v>96</v>
      </c>
      <c r="D461" s="72" t="s">
        <v>7</v>
      </c>
      <c r="E461" s="47" t="s">
        <v>371</v>
      </c>
      <c r="F461" s="83">
        <v>1</v>
      </c>
    </row>
    <row r="462" s="50" customFormat="1" spans="1:6">
      <c r="A462" s="76" t="s">
        <v>237</v>
      </c>
      <c r="B462" s="73" t="str">
        <f>TEXT("20140982",REPT(0,8))</f>
        <v>20140982</v>
      </c>
      <c r="C462" s="73" t="s">
        <v>96</v>
      </c>
      <c r="D462" s="72" t="s">
        <v>7</v>
      </c>
      <c r="E462" s="47" t="s">
        <v>371</v>
      </c>
      <c r="F462" s="83">
        <v>1</v>
      </c>
    </row>
    <row r="463" s="50" customFormat="1" spans="1:6">
      <c r="A463" s="76" t="s">
        <v>237</v>
      </c>
      <c r="B463" s="73" t="str">
        <f>TEXT("20140988",REPT(0,8))</f>
        <v>20140988</v>
      </c>
      <c r="C463" s="73" t="s">
        <v>96</v>
      </c>
      <c r="D463" s="72" t="s">
        <v>7</v>
      </c>
      <c r="E463" s="47" t="s">
        <v>371</v>
      </c>
      <c r="F463" s="83">
        <v>1</v>
      </c>
    </row>
    <row r="464" s="50" customFormat="1" spans="1:6">
      <c r="A464" s="76" t="s">
        <v>237</v>
      </c>
      <c r="B464" s="73" t="str">
        <f>TEXT("20140989",REPT(0,8))</f>
        <v>20140989</v>
      </c>
      <c r="C464" s="73" t="s">
        <v>96</v>
      </c>
      <c r="D464" s="72" t="s">
        <v>7</v>
      </c>
      <c r="E464" s="47" t="s">
        <v>371</v>
      </c>
      <c r="F464" s="83">
        <v>1</v>
      </c>
    </row>
    <row r="465" s="50" customFormat="1" spans="1:6">
      <c r="A465" s="76" t="s">
        <v>237</v>
      </c>
      <c r="B465" s="73" t="str">
        <f>TEXT("20141011",REPT(0,8))</f>
        <v>20141011</v>
      </c>
      <c r="C465" s="73" t="s">
        <v>96</v>
      </c>
      <c r="D465" s="72" t="s">
        <v>7</v>
      </c>
      <c r="E465" s="47"/>
      <c r="F465" s="83">
        <v>1</v>
      </c>
    </row>
    <row r="466" s="50" customFormat="1" spans="1:6">
      <c r="A466" s="76" t="s">
        <v>237</v>
      </c>
      <c r="B466" s="73" t="str">
        <f>TEXT("20141012",REPT(0,8))</f>
        <v>20141012</v>
      </c>
      <c r="C466" s="73" t="s">
        <v>96</v>
      </c>
      <c r="D466" s="72" t="s">
        <v>7</v>
      </c>
      <c r="E466" s="47"/>
      <c r="F466" s="83">
        <v>1</v>
      </c>
    </row>
    <row r="467" s="50" customFormat="1" spans="1:6">
      <c r="A467" s="76" t="s">
        <v>237</v>
      </c>
      <c r="B467" s="73" t="str">
        <f>TEXT("20140970",REPT(0,8))</f>
        <v>20140970</v>
      </c>
      <c r="C467" s="73" t="s">
        <v>96</v>
      </c>
      <c r="D467" s="72" t="s">
        <v>7</v>
      </c>
      <c r="E467" s="47">
        <v>15306</v>
      </c>
      <c r="F467" s="83">
        <v>1</v>
      </c>
    </row>
    <row r="468" s="50" customFormat="1" spans="1:6">
      <c r="A468" s="76" t="s">
        <v>237</v>
      </c>
      <c r="B468" s="73" t="str">
        <f>TEXT("20140971",REPT(0,8))</f>
        <v>20140971</v>
      </c>
      <c r="C468" s="73" t="s">
        <v>96</v>
      </c>
      <c r="D468" s="72" t="s">
        <v>7</v>
      </c>
      <c r="E468" s="47">
        <v>15306</v>
      </c>
      <c r="F468" s="83">
        <v>1</v>
      </c>
    </row>
    <row r="469" s="50" customFormat="1" spans="1:6">
      <c r="A469" s="76" t="s">
        <v>237</v>
      </c>
      <c r="B469" s="73" t="str">
        <f>TEXT("20140983",REPT(0,8))</f>
        <v>20140983</v>
      </c>
      <c r="C469" s="73" t="s">
        <v>96</v>
      </c>
      <c r="D469" s="72" t="s">
        <v>7</v>
      </c>
      <c r="E469" s="47">
        <v>15306</v>
      </c>
      <c r="F469" s="83">
        <v>1</v>
      </c>
    </row>
    <row r="470" s="50" customFormat="1" ht="12" customHeight="1" spans="1:6">
      <c r="A470" s="76" t="s">
        <v>237</v>
      </c>
      <c r="B470" s="73" t="str">
        <f>TEXT("20140981",REPT(0,8))</f>
        <v>20140981</v>
      </c>
      <c r="C470" s="73" t="s">
        <v>96</v>
      </c>
      <c r="D470" s="72" t="s">
        <v>7</v>
      </c>
      <c r="E470" s="47">
        <v>15306</v>
      </c>
      <c r="F470" s="83">
        <v>1</v>
      </c>
    </row>
    <row r="471" s="50" customFormat="1" spans="1:6">
      <c r="A471" s="76" t="s">
        <v>237</v>
      </c>
      <c r="B471" s="73" t="str">
        <f>TEXT("20140992",REPT(0,8))</f>
        <v>20140992</v>
      </c>
      <c r="C471" s="73" t="s">
        <v>96</v>
      </c>
      <c r="D471" s="72" t="s">
        <v>7</v>
      </c>
      <c r="E471" s="47">
        <v>15306</v>
      </c>
      <c r="F471" s="83">
        <v>1</v>
      </c>
    </row>
    <row r="472" s="50" customFormat="1" spans="1:6">
      <c r="A472" s="76" t="s">
        <v>237</v>
      </c>
      <c r="B472" s="73" t="str">
        <f>TEXT("20140994",REPT(0,8))</f>
        <v>20140994</v>
      </c>
      <c r="C472" s="73" t="s">
        <v>96</v>
      </c>
      <c r="D472" s="72" t="s">
        <v>7</v>
      </c>
      <c r="E472" s="47">
        <v>15306</v>
      </c>
      <c r="F472" s="83">
        <v>1</v>
      </c>
    </row>
    <row r="473" s="50" customFormat="1" spans="1:6">
      <c r="A473" s="76" t="s">
        <v>237</v>
      </c>
      <c r="B473" s="73" t="str">
        <f>TEXT("20140996",REPT(0,8))</f>
        <v>20140996</v>
      </c>
      <c r="C473" s="73" t="s">
        <v>96</v>
      </c>
      <c r="D473" s="72" t="s">
        <v>7</v>
      </c>
      <c r="E473" s="47">
        <v>15306</v>
      </c>
      <c r="F473" s="83">
        <v>1</v>
      </c>
    </row>
    <row r="474" s="50" customFormat="1" spans="1:6">
      <c r="A474" s="76" t="s">
        <v>237</v>
      </c>
      <c r="B474" s="73" t="str">
        <f>TEXT("20140998",REPT(0,8))</f>
        <v>20140998</v>
      </c>
      <c r="C474" s="73" t="s">
        <v>96</v>
      </c>
      <c r="D474" s="72" t="s">
        <v>7</v>
      </c>
      <c r="E474" s="47">
        <v>15306</v>
      </c>
      <c r="F474" s="83">
        <v>1</v>
      </c>
    </row>
    <row r="475" s="50" customFormat="1" spans="1:6">
      <c r="A475" s="76" t="s">
        <v>237</v>
      </c>
      <c r="B475" s="73" t="str">
        <f>TEXT("20140999",REPT(0,8))</f>
        <v>20140999</v>
      </c>
      <c r="C475" s="73" t="s">
        <v>96</v>
      </c>
      <c r="D475" s="72" t="s">
        <v>7</v>
      </c>
      <c r="E475" s="47">
        <v>15306</v>
      </c>
      <c r="F475" s="83">
        <v>1</v>
      </c>
    </row>
    <row r="476" s="50" customFormat="1" spans="1:6">
      <c r="A476" s="76" t="s">
        <v>237</v>
      </c>
      <c r="B476" s="73" t="str">
        <f>TEXT("20140984",REPT(0,8))</f>
        <v>20140984</v>
      </c>
      <c r="C476" s="73" t="s">
        <v>96</v>
      </c>
      <c r="D476" s="72" t="s">
        <v>7</v>
      </c>
      <c r="E476" s="47" t="s">
        <v>338</v>
      </c>
      <c r="F476" s="83">
        <v>1</v>
      </c>
    </row>
    <row r="477" s="50" customFormat="1" spans="1:6">
      <c r="A477" s="76" t="s">
        <v>237</v>
      </c>
      <c r="B477" s="73" t="str">
        <f>TEXT("20140968",REPT(0,8))</f>
        <v>20140968</v>
      </c>
      <c r="C477" s="73" t="s">
        <v>96</v>
      </c>
      <c r="D477" s="72" t="s">
        <v>7</v>
      </c>
      <c r="E477" s="47">
        <v>15425</v>
      </c>
      <c r="F477" s="83">
        <v>1</v>
      </c>
    </row>
    <row r="478" s="50" customFormat="1" spans="1:6">
      <c r="A478" s="76" t="s">
        <v>237</v>
      </c>
      <c r="B478" s="73" t="str">
        <f>TEXT("20140969",REPT(0,8))</f>
        <v>20140969</v>
      </c>
      <c r="C478" s="73" t="s">
        <v>96</v>
      </c>
      <c r="D478" s="72" t="s">
        <v>7</v>
      </c>
      <c r="E478" s="47">
        <v>15425</v>
      </c>
      <c r="F478" s="83">
        <v>1</v>
      </c>
    </row>
    <row r="479" s="50" customFormat="1" spans="1:6">
      <c r="A479" s="76" t="s">
        <v>237</v>
      </c>
      <c r="B479" s="73" t="str">
        <f>TEXT("20140972",REPT(0,8))</f>
        <v>20140972</v>
      </c>
      <c r="C479" s="73" t="s">
        <v>96</v>
      </c>
      <c r="D479" s="72" t="s">
        <v>7</v>
      </c>
      <c r="E479" s="47">
        <v>15425</v>
      </c>
      <c r="F479" s="83">
        <v>1</v>
      </c>
    </row>
    <row r="480" s="50" customFormat="1" spans="1:6">
      <c r="A480" s="76" t="s">
        <v>237</v>
      </c>
      <c r="B480" s="73" t="str">
        <f>TEXT("20140973",REPT(0,8))</f>
        <v>20140973</v>
      </c>
      <c r="C480" s="73" t="s">
        <v>96</v>
      </c>
      <c r="D480" s="72" t="s">
        <v>7</v>
      </c>
      <c r="E480" s="47">
        <v>15313</v>
      </c>
      <c r="F480" s="83">
        <v>1</v>
      </c>
    </row>
    <row r="481" s="50" customFormat="1" spans="1:6">
      <c r="A481" s="76" t="s">
        <v>237</v>
      </c>
      <c r="B481" s="73" t="str">
        <f>TEXT("20140974",REPT(0,8))</f>
        <v>20140974</v>
      </c>
      <c r="C481" s="73" t="s">
        <v>96</v>
      </c>
      <c r="D481" s="72" t="s">
        <v>7</v>
      </c>
      <c r="E481" s="47">
        <v>15425</v>
      </c>
      <c r="F481" s="83">
        <v>1</v>
      </c>
    </row>
    <row r="482" s="50" customFormat="1" spans="1:6">
      <c r="A482" s="76" t="s">
        <v>237</v>
      </c>
      <c r="B482" s="73" t="str">
        <f>TEXT("20140977",REPT(0,8))</f>
        <v>20140977</v>
      </c>
      <c r="C482" s="73" t="s">
        <v>96</v>
      </c>
      <c r="D482" s="72" t="s">
        <v>7</v>
      </c>
      <c r="E482" s="47">
        <v>15425</v>
      </c>
      <c r="F482" s="83">
        <v>1</v>
      </c>
    </row>
    <row r="483" s="50" customFormat="1" spans="1:6">
      <c r="A483" s="76" t="s">
        <v>237</v>
      </c>
      <c r="B483" s="73" t="str">
        <f>TEXT("20140978",REPT(0,8))</f>
        <v>20140978</v>
      </c>
      <c r="C483" s="73" t="s">
        <v>96</v>
      </c>
      <c r="D483" s="72" t="s">
        <v>7</v>
      </c>
      <c r="E483" s="47">
        <v>15425</v>
      </c>
      <c r="F483" s="83">
        <v>1</v>
      </c>
    </row>
    <row r="484" s="50" customFormat="1" spans="1:6">
      <c r="A484" s="76" t="s">
        <v>237</v>
      </c>
      <c r="B484" s="73" t="str">
        <f>TEXT("20140980",REPT(0,8))</f>
        <v>20140980</v>
      </c>
      <c r="C484" s="73" t="s">
        <v>96</v>
      </c>
      <c r="D484" s="72" t="s">
        <v>7</v>
      </c>
      <c r="E484" s="47">
        <v>15425</v>
      </c>
      <c r="F484" s="83">
        <v>1</v>
      </c>
    </row>
    <row r="485" s="50" customFormat="1" spans="1:6">
      <c r="A485" s="76" t="s">
        <v>237</v>
      </c>
      <c r="B485" s="73" t="str">
        <f>TEXT("20140985",REPT(0,8))</f>
        <v>20140985</v>
      </c>
      <c r="C485" s="73" t="s">
        <v>96</v>
      </c>
      <c r="D485" s="72" t="s">
        <v>7</v>
      </c>
      <c r="E485" s="47">
        <v>15425</v>
      </c>
      <c r="F485" s="83">
        <v>1</v>
      </c>
    </row>
    <row r="486" s="50" customFormat="1" spans="1:6">
      <c r="A486" s="76" t="s">
        <v>237</v>
      </c>
      <c r="B486" s="73" t="str">
        <f>TEXT("20140986",REPT(0,8))</f>
        <v>20140986</v>
      </c>
      <c r="C486" s="73" t="s">
        <v>96</v>
      </c>
      <c r="D486" s="72" t="s">
        <v>7</v>
      </c>
      <c r="E486" s="47">
        <v>15425</v>
      </c>
      <c r="F486" s="83">
        <v>1</v>
      </c>
    </row>
    <row r="487" s="50" customFormat="1" spans="1:6">
      <c r="A487" s="76" t="s">
        <v>237</v>
      </c>
      <c r="B487" s="73" t="str">
        <f>TEXT("20140990",REPT(0,8))</f>
        <v>20140990</v>
      </c>
      <c r="C487" s="73" t="s">
        <v>96</v>
      </c>
      <c r="D487" s="72" t="s">
        <v>7</v>
      </c>
      <c r="E487" s="47">
        <v>15425</v>
      </c>
      <c r="F487" s="83">
        <v>1</v>
      </c>
    </row>
    <row r="488" s="50" customFormat="1" spans="1:6">
      <c r="A488" s="76" t="s">
        <v>237</v>
      </c>
      <c r="B488" s="73" t="str">
        <f>TEXT("20140991",REPT(0,8))</f>
        <v>20140991</v>
      </c>
      <c r="C488" s="73" t="s">
        <v>96</v>
      </c>
      <c r="D488" s="72" t="s">
        <v>7</v>
      </c>
      <c r="E488" s="47">
        <v>15425</v>
      </c>
      <c r="F488" s="83">
        <v>1</v>
      </c>
    </row>
    <row r="489" s="50" customFormat="1" spans="1:6">
      <c r="A489" s="76" t="s">
        <v>237</v>
      </c>
      <c r="B489" s="73" t="str">
        <f>TEXT("20140993",REPT(0,8))</f>
        <v>20140993</v>
      </c>
      <c r="C489" s="73" t="s">
        <v>96</v>
      </c>
      <c r="D489" s="72" t="s">
        <v>7</v>
      </c>
      <c r="E489" s="47">
        <v>15425</v>
      </c>
      <c r="F489" s="83">
        <v>1</v>
      </c>
    </row>
    <row r="490" s="50" customFormat="1" spans="1:6">
      <c r="A490" s="76" t="s">
        <v>237</v>
      </c>
      <c r="B490" s="73" t="str">
        <f>TEXT("20140995",REPT(0,8))</f>
        <v>20140995</v>
      </c>
      <c r="C490" s="73" t="s">
        <v>96</v>
      </c>
      <c r="D490" s="72" t="s">
        <v>7</v>
      </c>
      <c r="E490" s="47">
        <v>15425</v>
      </c>
      <c r="F490" s="83">
        <v>1</v>
      </c>
    </row>
    <row r="491" s="50" customFormat="1" spans="1:6">
      <c r="A491" s="76" t="s">
        <v>237</v>
      </c>
      <c r="B491" s="73" t="str">
        <f>TEXT("20140997",REPT(0,8))</f>
        <v>20140997</v>
      </c>
      <c r="C491" s="73" t="s">
        <v>96</v>
      </c>
      <c r="D491" s="72" t="s">
        <v>7</v>
      </c>
      <c r="E491" s="47">
        <v>15425</v>
      </c>
      <c r="F491" s="83">
        <v>1</v>
      </c>
    </row>
    <row r="492" s="50" customFormat="1" spans="1:6">
      <c r="A492" s="76" t="s">
        <v>237</v>
      </c>
      <c r="B492" s="73" t="str">
        <f>TEXT("20141000",REPT(0,8))</f>
        <v>20141000</v>
      </c>
      <c r="C492" s="73" t="s">
        <v>96</v>
      </c>
      <c r="D492" s="72" t="s">
        <v>7</v>
      </c>
      <c r="E492" s="47">
        <v>15425</v>
      </c>
      <c r="F492" s="83">
        <v>1</v>
      </c>
    </row>
    <row r="493" s="50" customFormat="1" spans="1:6">
      <c r="A493" s="76" t="s">
        <v>237</v>
      </c>
      <c r="B493" s="73" t="str">
        <f>TEXT("20141001",REPT(0,8))</f>
        <v>20141001</v>
      </c>
      <c r="C493" s="73" t="s">
        <v>96</v>
      </c>
      <c r="D493" s="72" t="s">
        <v>7</v>
      </c>
      <c r="E493" s="47">
        <v>15425</v>
      </c>
      <c r="F493" s="83">
        <v>1</v>
      </c>
    </row>
    <row r="494" s="50" customFormat="1" spans="1:6">
      <c r="A494" s="76" t="s">
        <v>237</v>
      </c>
      <c r="B494" s="73" t="str">
        <f>TEXT("20141002",REPT(0,8))</f>
        <v>20141002</v>
      </c>
      <c r="C494" s="73" t="s">
        <v>96</v>
      </c>
      <c r="D494" s="72" t="s">
        <v>7</v>
      </c>
      <c r="E494" s="47">
        <v>15425</v>
      </c>
      <c r="F494" s="83">
        <v>1</v>
      </c>
    </row>
    <row r="495" s="50" customFormat="1" spans="1:6">
      <c r="A495" s="76" t="s">
        <v>237</v>
      </c>
      <c r="B495" s="73" t="str">
        <f>TEXT("20141003",REPT(0,8))</f>
        <v>20141003</v>
      </c>
      <c r="C495" s="73" t="s">
        <v>96</v>
      </c>
      <c r="D495" s="72" t="s">
        <v>7</v>
      </c>
      <c r="E495" s="47">
        <v>15221</v>
      </c>
      <c r="F495" s="83">
        <v>1</v>
      </c>
    </row>
    <row r="496" s="50" customFormat="1" spans="1:6">
      <c r="A496" s="76" t="s">
        <v>237</v>
      </c>
      <c r="B496" s="73" t="str">
        <f>TEXT("20141004",REPT(0,8))</f>
        <v>20141004</v>
      </c>
      <c r="C496" s="73" t="s">
        <v>96</v>
      </c>
      <c r="D496" s="72" t="s">
        <v>7</v>
      </c>
      <c r="E496" s="47">
        <v>15425</v>
      </c>
      <c r="F496" s="83">
        <v>1</v>
      </c>
    </row>
    <row r="497" s="50" customFormat="1" spans="1:6">
      <c r="A497" s="76" t="s">
        <v>237</v>
      </c>
      <c r="B497" s="73" t="str">
        <f>TEXT("20141005",REPT(0,8))</f>
        <v>20141005</v>
      </c>
      <c r="C497" s="73" t="s">
        <v>96</v>
      </c>
      <c r="D497" s="72" t="s">
        <v>7</v>
      </c>
      <c r="E497" s="47">
        <v>15425</v>
      </c>
      <c r="F497" s="83">
        <v>1</v>
      </c>
    </row>
    <row r="498" s="50" customFormat="1" spans="1:6">
      <c r="A498" s="76" t="s">
        <v>237</v>
      </c>
      <c r="B498" s="73" t="str">
        <f>TEXT("20141006",REPT(0,8))</f>
        <v>20141006</v>
      </c>
      <c r="C498" s="73" t="s">
        <v>96</v>
      </c>
      <c r="D498" s="72" t="s">
        <v>7</v>
      </c>
      <c r="E498" s="47">
        <v>15425</v>
      </c>
      <c r="F498" s="83">
        <v>1</v>
      </c>
    </row>
    <row r="499" s="50" customFormat="1" spans="1:6">
      <c r="A499" s="76" t="s">
        <v>237</v>
      </c>
      <c r="B499" s="73" t="str">
        <f>TEXT("20141007",REPT(0,8))</f>
        <v>20141007</v>
      </c>
      <c r="C499" s="73" t="s">
        <v>96</v>
      </c>
      <c r="D499" s="72" t="s">
        <v>7</v>
      </c>
      <c r="E499" s="47">
        <v>15425</v>
      </c>
      <c r="F499" s="83">
        <v>1</v>
      </c>
    </row>
    <row r="500" s="50" customFormat="1" spans="1:6">
      <c r="A500" s="76" t="s">
        <v>237</v>
      </c>
      <c r="B500" s="73" t="str">
        <f>TEXT("20141008",REPT(0,8))</f>
        <v>20141008</v>
      </c>
      <c r="C500" s="73" t="s">
        <v>96</v>
      </c>
      <c r="D500" s="72" t="s">
        <v>7</v>
      </c>
      <c r="E500" s="47">
        <v>15425</v>
      </c>
      <c r="F500" s="83">
        <v>1</v>
      </c>
    </row>
    <row r="501" s="50" customFormat="1" spans="1:6">
      <c r="A501" s="76" t="s">
        <v>237</v>
      </c>
      <c r="B501" s="73" t="str">
        <f>TEXT("20141009",REPT(0,8))</f>
        <v>20141009</v>
      </c>
      <c r="C501" s="73" t="s">
        <v>96</v>
      </c>
      <c r="D501" s="72" t="s">
        <v>7</v>
      </c>
      <c r="E501" s="47">
        <v>15425</v>
      </c>
      <c r="F501" s="83">
        <v>1</v>
      </c>
    </row>
    <row r="502" s="50" customFormat="1" spans="1:6">
      <c r="A502" s="76" t="s">
        <v>237</v>
      </c>
      <c r="B502" s="73" t="str">
        <f>TEXT("20141010",REPT(0,8))</f>
        <v>20141010</v>
      </c>
      <c r="C502" s="73" t="s">
        <v>96</v>
      </c>
      <c r="D502" s="72" t="s">
        <v>7</v>
      </c>
      <c r="E502" s="47">
        <v>15425</v>
      </c>
      <c r="F502" s="83">
        <v>1</v>
      </c>
    </row>
    <row r="503" s="50" customFormat="1" spans="1:6">
      <c r="A503" s="76" t="s">
        <v>237</v>
      </c>
      <c r="B503" s="73" t="str">
        <f>TEXT("20141013",REPT(0,8))</f>
        <v>20141013</v>
      </c>
      <c r="C503" s="73" t="s">
        <v>96</v>
      </c>
      <c r="D503" s="72" t="s">
        <v>7</v>
      </c>
      <c r="E503" s="47">
        <v>15425</v>
      </c>
      <c r="F503" s="83">
        <v>1</v>
      </c>
    </row>
    <row r="504" s="50" customFormat="1" spans="1:6">
      <c r="A504" s="76" t="s">
        <v>237</v>
      </c>
      <c r="B504" s="73" t="str">
        <f>TEXT("20141015",REPT(0,8))</f>
        <v>20141015</v>
      </c>
      <c r="C504" s="73" t="s">
        <v>96</v>
      </c>
      <c r="D504" s="72" t="s">
        <v>7</v>
      </c>
      <c r="E504" s="47">
        <v>15425</v>
      </c>
      <c r="F504" s="83">
        <v>1</v>
      </c>
    </row>
    <row r="505" spans="1:6">
      <c r="A505" s="76" t="s">
        <v>237</v>
      </c>
      <c r="B505" s="83" t="str">
        <f>TEXT("20170370",REPT(0,8))</f>
        <v>20170370</v>
      </c>
      <c r="C505" s="83" t="s">
        <v>372</v>
      </c>
      <c r="D505" s="83" t="s">
        <v>7</v>
      </c>
      <c r="F505" s="83">
        <v>1</v>
      </c>
    </row>
    <row r="506" spans="1:6">
      <c r="A506" s="76" t="s">
        <v>237</v>
      </c>
      <c r="B506" s="83" t="str">
        <f>TEXT("20190184",REPT(0,8))</f>
        <v>20190184</v>
      </c>
      <c r="C506" s="83" t="s">
        <v>373</v>
      </c>
      <c r="D506" s="83" t="s">
        <v>7</v>
      </c>
      <c r="F506" s="83">
        <v>1</v>
      </c>
    </row>
    <row r="507" spans="1:6">
      <c r="A507" s="76" t="s">
        <v>237</v>
      </c>
      <c r="B507" s="83" t="str">
        <f>TEXT("20190185",REPT(0,8))</f>
        <v>20190185</v>
      </c>
      <c r="C507" s="83" t="s">
        <v>373</v>
      </c>
      <c r="D507" s="83" t="s">
        <v>7</v>
      </c>
      <c r="F507" s="83">
        <v>1</v>
      </c>
    </row>
    <row r="508" spans="1:6">
      <c r="A508" s="76" t="s">
        <v>237</v>
      </c>
      <c r="B508" s="83" t="str">
        <f>TEXT("20130027",REPT(0,8))</f>
        <v>20130027</v>
      </c>
      <c r="C508" s="83" t="s">
        <v>373</v>
      </c>
      <c r="D508" s="83" t="s">
        <v>7</v>
      </c>
      <c r="F508" s="83">
        <v>1</v>
      </c>
    </row>
    <row r="509" spans="1:6">
      <c r="A509" s="76" t="s">
        <v>237</v>
      </c>
      <c r="B509" s="83" t="str">
        <f>TEXT("20130028",REPT(0,8))</f>
        <v>20130028</v>
      </c>
      <c r="C509" s="83" t="s">
        <v>373</v>
      </c>
      <c r="D509" s="83" t="s">
        <v>7</v>
      </c>
      <c r="F509" s="83">
        <v>1</v>
      </c>
    </row>
    <row r="510" spans="1:6">
      <c r="A510" s="76" t="s">
        <v>237</v>
      </c>
      <c r="B510" s="83" t="str">
        <f>TEXT("20130029",REPT(0,8))</f>
        <v>20130029</v>
      </c>
      <c r="C510" s="83" t="s">
        <v>374</v>
      </c>
      <c r="D510" s="83" t="s">
        <v>7</v>
      </c>
      <c r="F510" s="83">
        <v>1</v>
      </c>
    </row>
    <row r="511" spans="1:6">
      <c r="A511" s="76" t="s">
        <v>237</v>
      </c>
      <c r="B511" s="83" t="str">
        <f>TEXT("20130030",REPT(0,8))</f>
        <v>20130030</v>
      </c>
      <c r="C511" s="83" t="s">
        <v>374</v>
      </c>
      <c r="D511" s="83" t="s">
        <v>7</v>
      </c>
      <c r="F511" s="83">
        <v>1</v>
      </c>
    </row>
    <row r="512" spans="1:6">
      <c r="A512" s="76" t="s">
        <v>237</v>
      </c>
      <c r="B512" s="83" t="str">
        <f>TEXT("20130031",REPT(0,8))</f>
        <v>20130031</v>
      </c>
      <c r="C512" s="83" t="s">
        <v>374</v>
      </c>
      <c r="D512" s="83" t="s">
        <v>7</v>
      </c>
      <c r="F512" s="83">
        <v>1</v>
      </c>
    </row>
    <row r="513" spans="1:6">
      <c r="A513" s="76" t="s">
        <v>237</v>
      </c>
      <c r="B513" s="83" t="str">
        <f>TEXT("20130032",REPT(0,8))</f>
        <v>20130032</v>
      </c>
      <c r="C513" s="83" t="s">
        <v>374</v>
      </c>
      <c r="D513" s="83" t="s">
        <v>7</v>
      </c>
      <c r="F513" s="83">
        <v>1</v>
      </c>
    </row>
    <row r="514" spans="1:6">
      <c r="A514" s="76" t="s">
        <v>237</v>
      </c>
      <c r="B514" s="83" t="str">
        <f>TEXT("20130033",REPT(0,8))</f>
        <v>20130033</v>
      </c>
      <c r="C514" s="83" t="s">
        <v>374</v>
      </c>
      <c r="D514" s="83" t="s">
        <v>7</v>
      </c>
      <c r="F514" s="83">
        <v>1</v>
      </c>
    </row>
    <row r="515" spans="1:6">
      <c r="A515" s="76" t="s">
        <v>237</v>
      </c>
      <c r="B515" s="83" t="str">
        <f>TEXT("20130034",REPT(0,8))</f>
        <v>20130034</v>
      </c>
      <c r="C515" s="83" t="s">
        <v>374</v>
      </c>
      <c r="D515" s="83" t="s">
        <v>7</v>
      </c>
      <c r="F515" s="83">
        <v>1</v>
      </c>
    </row>
    <row r="516" spans="1:6">
      <c r="A516" s="76" t="s">
        <v>237</v>
      </c>
      <c r="B516" s="83" t="str">
        <f>TEXT("20170409",REPT(0,8))</f>
        <v>20170409</v>
      </c>
      <c r="C516" s="83" t="s">
        <v>96</v>
      </c>
      <c r="D516" s="83" t="s">
        <v>7</v>
      </c>
      <c r="F516" s="83">
        <v>1</v>
      </c>
    </row>
    <row r="517" spans="1:6">
      <c r="A517" s="76" t="s">
        <v>237</v>
      </c>
      <c r="B517" s="83" t="str">
        <f>TEXT("20170419",REPT(0,8))</f>
        <v>20170419</v>
      </c>
      <c r="C517" s="83" t="s">
        <v>49</v>
      </c>
      <c r="D517" s="83" t="s">
        <v>7</v>
      </c>
      <c r="F517" s="83">
        <v>1</v>
      </c>
    </row>
    <row r="518" spans="1:6">
      <c r="A518" s="76" t="s">
        <v>237</v>
      </c>
      <c r="B518" s="83" t="str">
        <f>TEXT("20170372",REPT(0,8))</f>
        <v>20170372</v>
      </c>
      <c r="C518" s="83" t="s">
        <v>375</v>
      </c>
      <c r="D518" s="83" t="s">
        <v>7</v>
      </c>
      <c r="F518" s="83">
        <v>1</v>
      </c>
    </row>
    <row r="519" spans="1:6">
      <c r="A519" s="76" t="s">
        <v>237</v>
      </c>
      <c r="B519" s="83" t="str">
        <f>TEXT("20170371",REPT(0,8))</f>
        <v>20170371</v>
      </c>
      <c r="C519" s="83" t="s">
        <v>330</v>
      </c>
      <c r="D519" s="83" t="s">
        <v>7</v>
      </c>
      <c r="F519" s="83">
        <v>1</v>
      </c>
    </row>
    <row r="520" spans="1:6">
      <c r="A520" s="76" t="s">
        <v>237</v>
      </c>
      <c r="B520" s="83" t="str">
        <f>TEXT("20160211",REPT(0,8))</f>
        <v>20160211</v>
      </c>
      <c r="C520" s="83" t="s">
        <v>367</v>
      </c>
      <c r="D520" s="83" t="s">
        <v>7</v>
      </c>
      <c r="F520" s="83">
        <v>1</v>
      </c>
    </row>
    <row r="521" spans="1:6">
      <c r="A521" s="76" t="s">
        <v>237</v>
      </c>
      <c r="B521" s="83" t="str">
        <f>TEXT("20240677",REPT(0,8))</f>
        <v>20240677</v>
      </c>
      <c r="C521" s="83" t="s">
        <v>95</v>
      </c>
      <c r="D521" s="83" t="s">
        <v>7</v>
      </c>
      <c r="F521" s="83">
        <v>1</v>
      </c>
    </row>
    <row r="522" spans="1:6">
      <c r="A522" s="76" t="s">
        <v>237</v>
      </c>
      <c r="B522" s="83" t="str">
        <f>TEXT("20240678",REPT(0,8))</f>
        <v>20240678</v>
      </c>
      <c r="C522" s="83" t="s">
        <v>94</v>
      </c>
      <c r="D522" s="83" t="s">
        <v>7</v>
      </c>
      <c r="F522" s="83">
        <v>1</v>
      </c>
    </row>
    <row r="523" spans="1:6">
      <c r="A523" s="76" t="s">
        <v>237</v>
      </c>
      <c r="B523" s="83" t="str">
        <f>TEXT("20240893",REPT(0,8))</f>
        <v>20240893</v>
      </c>
      <c r="C523" s="83" t="s">
        <v>376</v>
      </c>
      <c r="D523" s="83" t="s">
        <v>7</v>
      </c>
      <c r="F523" s="83">
        <v>1</v>
      </c>
    </row>
    <row r="524" spans="1:6">
      <c r="A524" s="76" t="s">
        <v>237</v>
      </c>
      <c r="B524" s="83" t="str">
        <f>TEXT("20240894",REPT(0,8))</f>
        <v>20240894</v>
      </c>
      <c r="C524" s="83" t="s">
        <v>376</v>
      </c>
      <c r="D524" s="83" t="s">
        <v>7</v>
      </c>
      <c r="F524" s="83">
        <v>1</v>
      </c>
    </row>
    <row r="525" spans="1:6">
      <c r="A525" s="76" t="s">
        <v>237</v>
      </c>
      <c r="B525" s="83" t="str">
        <f>TEXT("20240895",REPT(0,8))</f>
        <v>20240895</v>
      </c>
      <c r="C525" s="83" t="s">
        <v>376</v>
      </c>
      <c r="D525" s="83" t="s">
        <v>7</v>
      </c>
      <c r="F525" s="83">
        <v>1</v>
      </c>
    </row>
    <row r="526" spans="1:6">
      <c r="A526" s="76" t="s">
        <v>237</v>
      </c>
      <c r="B526" s="83" t="str">
        <f>TEXT("20240896",REPT(0,8))</f>
        <v>20240896</v>
      </c>
      <c r="C526" s="83" t="s">
        <v>376</v>
      </c>
      <c r="D526" s="83" t="s">
        <v>7</v>
      </c>
      <c r="F526" s="83">
        <v>1</v>
      </c>
    </row>
    <row r="527" spans="1:6">
      <c r="A527" s="76" t="s">
        <v>237</v>
      </c>
      <c r="B527" s="83" t="str">
        <f>TEXT("20240897",REPT(0,8))</f>
        <v>20240897</v>
      </c>
      <c r="C527" s="83" t="s">
        <v>376</v>
      </c>
      <c r="D527" s="83" t="s">
        <v>7</v>
      </c>
      <c r="F527" s="83">
        <v>1</v>
      </c>
    </row>
    <row r="528" spans="1:6">
      <c r="A528" s="76" t="s">
        <v>237</v>
      </c>
      <c r="B528" s="83" t="str">
        <f>TEXT("20240898",REPT(0,8))</f>
        <v>20240898</v>
      </c>
      <c r="C528" s="83" t="s">
        <v>376</v>
      </c>
      <c r="D528" s="83" t="s">
        <v>7</v>
      </c>
      <c r="F528" s="83">
        <v>1</v>
      </c>
    </row>
    <row r="529" spans="1:6">
      <c r="A529" s="76" t="s">
        <v>237</v>
      </c>
      <c r="B529" s="83" t="str">
        <f>TEXT("20240899",REPT(0,8))</f>
        <v>20240899</v>
      </c>
      <c r="C529" s="83" t="s">
        <v>376</v>
      </c>
      <c r="D529" s="83" t="s">
        <v>7</v>
      </c>
      <c r="F529" s="83">
        <v>1</v>
      </c>
    </row>
    <row r="530" spans="1:6">
      <c r="A530" s="76" t="s">
        <v>237</v>
      </c>
      <c r="B530" s="83" t="str">
        <f>TEXT("20240900",REPT(0,8))</f>
        <v>20240900</v>
      </c>
      <c r="C530" s="83" t="s">
        <v>376</v>
      </c>
      <c r="D530" s="83" t="s">
        <v>7</v>
      </c>
      <c r="F530" s="83">
        <v>1</v>
      </c>
    </row>
    <row r="531" spans="1:6">
      <c r="A531" s="76" t="s">
        <v>237</v>
      </c>
      <c r="B531" s="83" t="str">
        <f>TEXT("20240901",REPT(0,8))</f>
        <v>20240901</v>
      </c>
      <c r="C531" s="83" t="s">
        <v>376</v>
      </c>
      <c r="D531" s="83" t="s">
        <v>7</v>
      </c>
      <c r="F531" s="83">
        <v>1</v>
      </c>
    </row>
    <row r="532" spans="1:6">
      <c r="A532" s="76" t="s">
        <v>237</v>
      </c>
      <c r="B532" s="83" t="str">
        <f>TEXT("20240902",REPT(0,8))</f>
        <v>20240902</v>
      </c>
      <c r="C532" s="83" t="s">
        <v>376</v>
      </c>
      <c r="D532" s="83" t="s">
        <v>7</v>
      </c>
      <c r="F532" s="83">
        <v>1</v>
      </c>
    </row>
    <row r="533" spans="1:6">
      <c r="A533" s="76" t="s">
        <v>237</v>
      </c>
      <c r="B533" s="83" t="str">
        <f>TEXT("20240903",REPT(0,8))</f>
        <v>20240903</v>
      </c>
      <c r="C533" s="83" t="s">
        <v>376</v>
      </c>
      <c r="D533" s="83" t="s">
        <v>7</v>
      </c>
      <c r="F533" s="83">
        <v>1</v>
      </c>
    </row>
    <row r="534" spans="1:6">
      <c r="A534" s="76" t="s">
        <v>237</v>
      </c>
      <c r="B534" s="83" t="str">
        <f>TEXT("20240904",REPT(0,8))</f>
        <v>20240904</v>
      </c>
      <c r="C534" s="83" t="s">
        <v>376</v>
      </c>
      <c r="D534" s="83" t="s">
        <v>7</v>
      </c>
      <c r="F534" s="83">
        <v>1</v>
      </c>
    </row>
    <row r="535" spans="1:6">
      <c r="A535" s="76" t="s">
        <v>237</v>
      </c>
      <c r="B535" s="83" t="str">
        <f>TEXT("20240628",REPT(0,8))</f>
        <v>20240628</v>
      </c>
      <c r="C535" s="83" t="s">
        <v>96</v>
      </c>
      <c r="D535" s="83" t="s">
        <v>7</v>
      </c>
      <c r="F535" s="83">
        <v>1</v>
      </c>
    </row>
    <row r="536" spans="1:6">
      <c r="A536" s="76" t="s">
        <v>237</v>
      </c>
      <c r="B536" s="83" t="str">
        <f>TEXT("20240629",REPT(0,8))</f>
        <v>20240629</v>
      </c>
      <c r="C536" s="83" t="s">
        <v>96</v>
      </c>
      <c r="D536" s="83" t="s">
        <v>7</v>
      </c>
      <c r="F536" s="83">
        <v>1</v>
      </c>
    </row>
    <row r="537" spans="1:6">
      <c r="A537" s="76" t="s">
        <v>237</v>
      </c>
      <c r="B537" s="83" t="str">
        <f>TEXT("20240630",REPT(0,8))</f>
        <v>20240630</v>
      </c>
      <c r="C537" s="83" t="s">
        <v>96</v>
      </c>
      <c r="D537" s="83" t="s">
        <v>7</v>
      </c>
      <c r="F537" s="83">
        <v>1</v>
      </c>
    </row>
    <row r="538" spans="1:6">
      <c r="A538" s="76" t="s">
        <v>237</v>
      </c>
      <c r="B538" s="83" t="str">
        <f>TEXT("20240631",REPT(0,8))</f>
        <v>20240631</v>
      </c>
      <c r="C538" s="83" t="s">
        <v>96</v>
      </c>
      <c r="D538" s="83" t="s">
        <v>7</v>
      </c>
      <c r="F538" s="83">
        <v>1</v>
      </c>
    </row>
    <row r="539" spans="1:6">
      <c r="A539" s="76" t="s">
        <v>237</v>
      </c>
      <c r="B539" s="83" t="str">
        <f>TEXT("20240632",REPT(0,8))</f>
        <v>20240632</v>
      </c>
      <c r="C539" s="83" t="s">
        <v>96</v>
      </c>
      <c r="D539" s="83" t="s">
        <v>7</v>
      </c>
      <c r="F539" s="83">
        <v>1</v>
      </c>
    </row>
    <row r="540" spans="1:6">
      <c r="A540" s="76" t="s">
        <v>237</v>
      </c>
      <c r="B540" s="83" t="str">
        <f>TEXT("20240633",REPT(0,8))</f>
        <v>20240633</v>
      </c>
      <c r="C540" s="83" t="s">
        <v>96</v>
      </c>
      <c r="D540" s="83" t="s">
        <v>7</v>
      </c>
      <c r="F540" s="83">
        <v>1</v>
      </c>
    </row>
    <row r="541" spans="1:6">
      <c r="A541" s="76" t="s">
        <v>237</v>
      </c>
      <c r="B541" s="83" t="str">
        <f>TEXT("20240634",REPT(0,8))</f>
        <v>20240634</v>
      </c>
      <c r="C541" s="83" t="s">
        <v>96</v>
      </c>
      <c r="D541" s="83" t="s">
        <v>7</v>
      </c>
      <c r="F541" s="83">
        <v>1</v>
      </c>
    </row>
    <row r="542" spans="1:6">
      <c r="A542" s="76" t="s">
        <v>237</v>
      </c>
      <c r="B542" s="83" t="str">
        <f>TEXT("20240635",REPT(0,8))</f>
        <v>20240635</v>
      </c>
      <c r="C542" s="83" t="s">
        <v>96</v>
      </c>
      <c r="D542" s="83" t="s">
        <v>7</v>
      </c>
      <c r="F542" s="83">
        <v>1</v>
      </c>
    </row>
    <row r="543" spans="1:6">
      <c r="A543" s="76" t="s">
        <v>237</v>
      </c>
      <c r="B543" s="83" t="str">
        <f>TEXT("20240636",REPT(0,8))</f>
        <v>20240636</v>
      </c>
      <c r="C543" s="83" t="s">
        <v>96</v>
      </c>
      <c r="D543" s="83" t="s">
        <v>7</v>
      </c>
      <c r="F543" s="83">
        <v>1</v>
      </c>
    </row>
    <row r="544" spans="1:6">
      <c r="A544" s="76" t="s">
        <v>237</v>
      </c>
      <c r="B544" s="83" t="str">
        <f>TEXT("20240637",REPT(0,8))</f>
        <v>20240637</v>
      </c>
      <c r="C544" s="83" t="s">
        <v>96</v>
      </c>
      <c r="D544" s="83" t="s">
        <v>7</v>
      </c>
      <c r="F544" s="83">
        <v>1</v>
      </c>
    </row>
    <row r="545" spans="1:6">
      <c r="A545" s="76" t="s">
        <v>237</v>
      </c>
      <c r="B545" s="83" t="str">
        <f>TEXT("20240638",REPT(0,8))</f>
        <v>20240638</v>
      </c>
      <c r="C545" s="83" t="s">
        <v>96</v>
      </c>
      <c r="D545" s="83" t="s">
        <v>7</v>
      </c>
      <c r="F545" s="83">
        <v>1</v>
      </c>
    </row>
    <row r="546" spans="1:6">
      <c r="A546" s="76" t="s">
        <v>237</v>
      </c>
      <c r="B546" s="83" t="str">
        <f>TEXT("20240639",REPT(0,8))</f>
        <v>20240639</v>
      </c>
      <c r="C546" s="83" t="s">
        <v>96</v>
      </c>
      <c r="D546" s="83" t="s">
        <v>7</v>
      </c>
      <c r="F546" s="83">
        <v>1</v>
      </c>
    </row>
    <row r="547" spans="1:6">
      <c r="A547" s="76" t="s">
        <v>237</v>
      </c>
      <c r="B547" s="83" t="str">
        <f>TEXT("20130816",REPT(0,8))</f>
        <v>20130816</v>
      </c>
      <c r="C547" s="83" t="s">
        <v>377</v>
      </c>
      <c r="D547" s="83" t="s">
        <v>7</v>
      </c>
      <c r="F547" s="83">
        <v>1</v>
      </c>
    </row>
    <row r="548" spans="1:6">
      <c r="A548" s="76" t="s">
        <v>237</v>
      </c>
      <c r="B548" s="83" t="str">
        <f>TEXT("20130817",REPT(0,8))</f>
        <v>20130817</v>
      </c>
      <c r="C548" s="83" t="s">
        <v>377</v>
      </c>
      <c r="D548" s="83" t="s">
        <v>7</v>
      </c>
      <c r="F548" s="83">
        <v>1</v>
      </c>
    </row>
    <row r="549" spans="1:6">
      <c r="A549" s="76" t="s">
        <v>237</v>
      </c>
      <c r="B549" s="83" t="str">
        <f>TEXT("20130818",REPT(0,8))</f>
        <v>20130818</v>
      </c>
      <c r="C549" s="83" t="s">
        <v>377</v>
      </c>
      <c r="D549" s="83" t="s">
        <v>7</v>
      </c>
      <c r="F549" s="83">
        <v>1</v>
      </c>
    </row>
    <row r="550" spans="1:6">
      <c r="A550" s="76" t="s">
        <v>237</v>
      </c>
      <c r="B550" s="83" t="str">
        <f>TEXT("20130819",REPT(0,8))</f>
        <v>20130819</v>
      </c>
      <c r="C550" s="83" t="s">
        <v>377</v>
      </c>
      <c r="D550" s="83" t="s">
        <v>7</v>
      </c>
      <c r="F550" s="83">
        <v>1</v>
      </c>
    </row>
    <row r="551" spans="1:6">
      <c r="A551" s="76" t="s">
        <v>237</v>
      </c>
      <c r="B551" s="83" t="str">
        <f>TEXT("20130820",REPT(0,8))</f>
        <v>20130820</v>
      </c>
      <c r="C551" s="83" t="s">
        <v>377</v>
      </c>
      <c r="D551" s="83" t="s">
        <v>7</v>
      </c>
      <c r="F551" s="83">
        <v>1</v>
      </c>
    </row>
    <row r="552" spans="1:6">
      <c r="A552" s="76" t="s">
        <v>237</v>
      </c>
      <c r="B552" s="83" t="str">
        <f>TEXT("20130821",REPT(0,8))</f>
        <v>20130821</v>
      </c>
      <c r="C552" s="83" t="s">
        <v>377</v>
      </c>
      <c r="D552" s="83" t="s">
        <v>7</v>
      </c>
      <c r="F552" s="83">
        <v>1</v>
      </c>
    </row>
    <row r="553" spans="1:6">
      <c r="A553" s="76" t="s">
        <v>237</v>
      </c>
      <c r="B553" s="83" t="str">
        <f>TEXT("20130822",REPT(0,8))</f>
        <v>20130822</v>
      </c>
      <c r="C553" s="83" t="s">
        <v>377</v>
      </c>
      <c r="D553" s="83" t="s">
        <v>7</v>
      </c>
      <c r="F553" s="83">
        <v>1</v>
      </c>
    </row>
    <row r="554" spans="1:6">
      <c r="A554" s="76" t="s">
        <v>237</v>
      </c>
      <c r="B554" s="83" t="str">
        <f>TEXT("20130823",REPT(0,8))</f>
        <v>20130823</v>
      </c>
      <c r="C554" s="83" t="s">
        <v>377</v>
      </c>
      <c r="D554" s="83" t="s">
        <v>7</v>
      </c>
      <c r="F554" s="83">
        <v>1</v>
      </c>
    </row>
    <row r="555" spans="1:6">
      <c r="A555" s="76" t="s">
        <v>237</v>
      </c>
      <c r="B555" s="83" t="str">
        <f>TEXT("20130824",REPT(0,8))</f>
        <v>20130824</v>
      </c>
      <c r="C555" s="83" t="s">
        <v>377</v>
      </c>
      <c r="D555" s="83" t="s">
        <v>7</v>
      </c>
      <c r="F555" s="83">
        <v>1</v>
      </c>
    </row>
    <row r="556" spans="1:6">
      <c r="A556" s="76" t="s">
        <v>237</v>
      </c>
      <c r="B556" s="83" t="str">
        <f>TEXT("20130825",REPT(0,8))</f>
        <v>20130825</v>
      </c>
      <c r="C556" s="83" t="s">
        <v>377</v>
      </c>
      <c r="D556" s="83" t="s">
        <v>7</v>
      </c>
      <c r="F556" s="83">
        <v>1</v>
      </c>
    </row>
    <row r="557" spans="1:6">
      <c r="A557" s="76" t="s">
        <v>237</v>
      </c>
      <c r="B557" s="83" t="str">
        <f>TEXT("20130826",REPT(0,8))</f>
        <v>20130826</v>
      </c>
      <c r="C557" s="83" t="s">
        <v>377</v>
      </c>
      <c r="D557" s="83" t="s">
        <v>7</v>
      </c>
      <c r="F557" s="83">
        <v>1</v>
      </c>
    </row>
    <row r="558" spans="1:6">
      <c r="A558" s="76" t="s">
        <v>237</v>
      </c>
      <c r="B558" s="83" t="str">
        <f>TEXT("20130827",REPT(0,8))</f>
        <v>20130827</v>
      </c>
      <c r="C558" s="83" t="s">
        <v>377</v>
      </c>
      <c r="D558" s="83" t="s">
        <v>7</v>
      </c>
      <c r="F558" s="83">
        <v>1</v>
      </c>
    </row>
    <row r="559" spans="1:6">
      <c r="A559" s="76" t="s">
        <v>237</v>
      </c>
      <c r="B559" s="83" t="str">
        <f>TEXT("20130828",REPT(0,8))</f>
        <v>20130828</v>
      </c>
      <c r="C559" s="83" t="s">
        <v>377</v>
      </c>
      <c r="D559" s="83" t="s">
        <v>7</v>
      </c>
      <c r="F559" s="83">
        <v>1</v>
      </c>
    </row>
    <row r="560" spans="1:6">
      <c r="A560" s="76" t="s">
        <v>237</v>
      </c>
      <c r="B560" s="83" t="str">
        <f>TEXT("20130829",REPT(0,8))</f>
        <v>20130829</v>
      </c>
      <c r="C560" s="83" t="s">
        <v>377</v>
      </c>
      <c r="D560" s="83" t="s">
        <v>7</v>
      </c>
      <c r="F560" s="83">
        <v>1</v>
      </c>
    </row>
    <row r="561" s="50" customFormat="1" spans="1:6">
      <c r="A561" s="76" t="s">
        <v>237</v>
      </c>
      <c r="B561" s="73" t="str">
        <f>TEXT("20130148",REPT(0,8))</f>
        <v>20130148</v>
      </c>
      <c r="C561" s="73" t="s">
        <v>96</v>
      </c>
      <c r="D561" s="72" t="s">
        <v>7</v>
      </c>
      <c r="E561" s="82"/>
      <c r="F561" s="83">
        <v>1</v>
      </c>
    </row>
    <row r="562" s="76" customFormat="1" spans="1:2565">
      <c r="A562" s="76" t="s">
        <v>237</v>
      </c>
      <c r="B562" s="83" t="str">
        <f>TEXT("20130208",REPT(0,8))</f>
        <v>20130208</v>
      </c>
      <c r="C562" s="83" t="s">
        <v>49</v>
      </c>
      <c r="D562" s="83" t="s">
        <v>7</v>
      </c>
      <c r="E562" s="82"/>
      <c r="F562" s="83">
        <v>1</v>
      </c>
      <c r="JA562" s="50"/>
      <c r="SW562" s="50"/>
      <c r="ACS562" s="50"/>
      <c r="AMO562" s="50"/>
      <c r="AWK562" s="50"/>
      <c r="BGG562" s="50"/>
      <c r="BQC562" s="50"/>
      <c r="BZY562" s="50"/>
      <c r="CJU562" s="50"/>
      <c r="CTQ562" s="50"/>
    </row>
    <row r="563" spans="1:6">
      <c r="A563" s="76" t="s">
        <v>237</v>
      </c>
      <c r="B563" s="83" t="str">
        <f>TEXT("20130781",REPT(0,8))</f>
        <v>20130781</v>
      </c>
      <c r="C563" s="83" t="s">
        <v>378</v>
      </c>
      <c r="D563" s="83" t="s">
        <v>7</v>
      </c>
      <c r="F563" s="83">
        <v>1</v>
      </c>
    </row>
    <row r="564" spans="1:6">
      <c r="A564" s="76" t="s">
        <v>237</v>
      </c>
      <c r="B564" s="83" t="str">
        <f>TEXT("20130782",REPT(0,8))</f>
        <v>20130782</v>
      </c>
      <c r="C564" s="83" t="s">
        <v>378</v>
      </c>
      <c r="D564" s="83" t="s">
        <v>7</v>
      </c>
      <c r="F564" s="83">
        <v>1</v>
      </c>
    </row>
    <row r="565" spans="1:6">
      <c r="A565" s="76" t="s">
        <v>237</v>
      </c>
      <c r="B565" s="83" t="str">
        <f>TEXT("20130783",REPT(0,8))</f>
        <v>20130783</v>
      </c>
      <c r="C565" s="83" t="s">
        <v>378</v>
      </c>
      <c r="D565" s="83" t="s">
        <v>7</v>
      </c>
      <c r="F565" s="83">
        <v>1</v>
      </c>
    </row>
    <row r="566" spans="1:6">
      <c r="A566" s="76" t="s">
        <v>237</v>
      </c>
      <c r="B566" s="83" t="str">
        <f>TEXT("20130784",REPT(0,8))</f>
        <v>20130784</v>
      </c>
      <c r="C566" s="83" t="s">
        <v>378</v>
      </c>
      <c r="D566" s="83" t="s">
        <v>7</v>
      </c>
      <c r="F566" s="83">
        <v>1</v>
      </c>
    </row>
    <row r="567" spans="1:6">
      <c r="A567" s="76" t="s">
        <v>237</v>
      </c>
      <c r="B567" s="83" t="str">
        <f>TEXT("20130785",REPT(0,8))</f>
        <v>20130785</v>
      </c>
      <c r="C567" s="83" t="s">
        <v>378</v>
      </c>
      <c r="D567" s="83" t="s">
        <v>7</v>
      </c>
      <c r="F567" s="83">
        <v>1</v>
      </c>
    </row>
    <row r="568" spans="1:6">
      <c r="A568" s="76" t="s">
        <v>237</v>
      </c>
      <c r="B568" s="83" t="str">
        <f>TEXT("20130786",REPT(0,8))</f>
        <v>20130786</v>
      </c>
      <c r="C568" s="83" t="s">
        <v>378</v>
      </c>
      <c r="D568" s="83" t="s">
        <v>7</v>
      </c>
      <c r="F568" s="83">
        <v>1</v>
      </c>
    </row>
    <row r="569" spans="1:6">
      <c r="A569" s="76" t="s">
        <v>237</v>
      </c>
      <c r="B569" s="83" t="str">
        <f>TEXT("20130787",REPT(0,8))</f>
        <v>20130787</v>
      </c>
      <c r="C569" s="83" t="s">
        <v>378</v>
      </c>
      <c r="D569" s="83" t="s">
        <v>7</v>
      </c>
      <c r="F569" s="83">
        <v>1</v>
      </c>
    </row>
    <row r="570" spans="1:6">
      <c r="A570" s="76" t="s">
        <v>237</v>
      </c>
      <c r="B570" s="83" t="str">
        <f>TEXT("20130788",REPT(0,8))</f>
        <v>20130788</v>
      </c>
      <c r="C570" s="83" t="s">
        <v>378</v>
      </c>
      <c r="D570" s="83" t="s">
        <v>7</v>
      </c>
      <c r="F570" s="83">
        <v>1</v>
      </c>
    </row>
    <row r="571" spans="1:6">
      <c r="A571" s="76" t="s">
        <v>237</v>
      </c>
      <c r="B571" s="83" t="str">
        <f>TEXT("20130790",REPT(0,8))</f>
        <v>20130790</v>
      </c>
      <c r="C571" s="83" t="s">
        <v>378</v>
      </c>
      <c r="D571" s="83" t="s">
        <v>7</v>
      </c>
      <c r="F571" s="83">
        <v>1</v>
      </c>
    </row>
    <row r="572" spans="1:6">
      <c r="A572" s="76" t="s">
        <v>237</v>
      </c>
      <c r="B572" s="83" t="str">
        <f>TEXT("20130791",REPT(0,8))</f>
        <v>20130791</v>
      </c>
      <c r="C572" s="83" t="s">
        <v>378</v>
      </c>
      <c r="D572" s="83" t="s">
        <v>7</v>
      </c>
      <c r="F572" s="83">
        <v>1</v>
      </c>
    </row>
    <row r="573" spans="1:6">
      <c r="A573" s="76" t="s">
        <v>237</v>
      </c>
      <c r="B573" s="83" t="str">
        <f>TEXT("20130792",REPT(0,8))</f>
        <v>20130792</v>
      </c>
      <c r="C573" s="83" t="s">
        <v>378</v>
      </c>
      <c r="D573" s="83" t="s">
        <v>7</v>
      </c>
      <c r="F573" s="83">
        <v>1</v>
      </c>
    </row>
    <row r="574" spans="1:6">
      <c r="A574" s="76" t="s">
        <v>237</v>
      </c>
      <c r="B574" s="83" t="str">
        <f>TEXT("20130793",REPT(0,8))</f>
        <v>20130793</v>
      </c>
      <c r="C574" s="83" t="s">
        <v>378</v>
      </c>
      <c r="D574" s="83" t="s">
        <v>7</v>
      </c>
      <c r="F574" s="83">
        <v>1</v>
      </c>
    </row>
    <row r="575" spans="1:6">
      <c r="A575" s="76" t="s">
        <v>237</v>
      </c>
      <c r="B575" s="83" t="str">
        <f>TEXT("20130794",REPT(0,8))</f>
        <v>20130794</v>
      </c>
      <c r="C575" s="83" t="s">
        <v>378</v>
      </c>
      <c r="D575" s="83" t="s">
        <v>7</v>
      </c>
      <c r="F575" s="83">
        <v>1</v>
      </c>
    </row>
    <row r="576" spans="1:6">
      <c r="A576" s="76" t="s">
        <v>237</v>
      </c>
      <c r="B576" s="83" t="str">
        <f>TEXT("20130795",REPT(0,8))</f>
        <v>20130795</v>
      </c>
      <c r="C576" s="83" t="s">
        <v>378</v>
      </c>
      <c r="D576" s="83" t="s">
        <v>7</v>
      </c>
      <c r="F576" s="83">
        <v>1</v>
      </c>
    </row>
    <row r="577" spans="1:6">
      <c r="A577" s="76" t="s">
        <v>237</v>
      </c>
      <c r="B577" s="83" t="str">
        <f>TEXT("20130796",REPT(0,8))</f>
        <v>20130796</v>
      </c>
      <c r="C577" s="83" t="s">
        <v>378</v>
      </c>
      <c r="D577" s="83" t="s">
        <v>7</v>
      </c>
      <c r="F577" s="83">
        <v>1</v>
      </c>
    </row>
    <row r="578" spans="1:6">
      <c r="A578" s="76" t="s">
        <v>237</v>
      </c>
      <c r="B578" s="83" t="str">
        <f>TEXT("20130797",REPT(0,8))</f>
        <v>20130797</v>
      </c>
      <c r="C578" s="83" t="s">
        <v>378</v>
      </c>
      <c r="D578" s="83" t="s">
        <v>7</v>
      </c>
      <c r="F578" s="83">
        <v>1</v>
      </c>
    </row>
    <row r="579" spans="1:6">
      <c r="A579" s="76" t="s">
        <v>237</v>
      </c>
      <c r="B579" s="83" t="str">
        <f>TEXT("20130798",REPT(0,8))</f>
        <v>20130798</v>
      </c>
      <c r="C579" s="83" t="s">
        <v>378</v>
      </c>
      <c r="D579" s="83" t="s">
        <v>7</v>
      </c>
      <c r="F579" s="83">
        <v>1</v>
      </c>
    </row>
    <row r="580" spans="1:6">
      <c r="A580" s="76" t="s">
        <v>237</v>
      </c>
      <c r="B580" s="83" t="str">
        <f>TEXT("20130799",REPT(0,8))</f>
        <v>20130799</v>
      </c>
      <c r="C580" s="83" t="s">
        <v>378</v>
      </c>
      <c r="D580" s="83" t="s">
        <v>7</v>
      </c>
      <c r="F580" s="83">
        <v>1</v>
      </c>
    </row>
    <row r="581" spans="1:6">
      <c r="A581" s="76" t="s">
        <v>237</v>
      </c>
      <c r="B581" s="83" t="str">
        <f>TEXT("20130801",REPT(0,8))</f>
        <v>20130801</v>
      </c>
      <c r="C581" s="83" t="s">
        <v>378</v>
      </c>
      <c r="D581" s="83" t="s">
        <v>7</v>
      </c>
      <c r="F581" s="83">
        <v>1</v>
      </c>
    </row>
    <row r="582" spans="1:6">
      <c r="A582" s="76" t="s">
        <v>237</v>
      </c>
      <c r="B582" s="83" t="str">
        <f>TEXT("20130802",REPT(0,8))</f>
        <v>20130802</v>
      </c>
      <c r="C582" s="83" t="s">
        <v>378</v>
      </c>
      <c r="D582" s="83" t="s">
        <v>7</v>
      </c>
      <c r="F582" s="83">
        <v>1</v>
      </c>
    </row>
    <row r="583" spans="1:6">
      <c r="A583" s="76" t="s">
        <v>237</v>
      </c>
      <c r="B583" s="83" t="str">
        <f>TEXT("20130803",REPT(0,8))</f>
        <v>20130803</v>
      </c>
      <c r="C583" s="83" t="s">
        <v>378</v>
      </c>
      <c r="D583" s="83" t="s">
        <v>7</v>
      </c>
      <c r="F583" s="83">
        <v>1</v>
      </c>
    </row>
    <row r="584" spans="1:6">
      <c r="A584" s="76" t="s">
        <v>237</v>
      </c>
      <c r="B584" s="83" t="str">
        <f>TEXT("20130804",REPT(0,8))</f>
        <v>20130804</v>
      </c>
      <c r="C584" s="83" t="s">
        <v>378</v>
      </c>
      <c r="D584" s="83" t="s">
        <v>7</v>
      </c>
      <c r="F584" s="83">
        <v>1</v>
      </c>
    </row>
    <row r="585" spans="1:6">
      <c r="A585" s="76" t="s">
        <v>237</v>
      </c>
      <c r="B585" s="83" t="str">
        <f>TEXT("20130805",REPT(0,8))</f>
        <v>20130805</v>
      </c>
      <c r="C585" s="83" t="s">
        <v>378</v>
      </c>
      <c r="D585" s="83" t="s">
        <v>7</v>
      </c>
      <c r="F585" s="83">
        <v>1</v>
      </c>
    </row>
    <row r="586" spans="1:6">
      <c r="A586" s="76" t="s">
        <v>237</v>
      </c>
      <c r="B586" s="83" t="str">
        <f>TEXT("20130806",REPT(0,8))</f>
        <v>20130806</v>
      </c>
      <c r="C586" s="83" t="s">
        <v>378</v>
      </c>
      <c r="D586" s="83" t="s">
        <v>7</v>
      </c>
      <c r="F586" s="83">
        <v>1</v>
      </c>
    </row>
    <row r="587" spans="1:6">
      <c r="A587" s="76" t="s">
        <v>237</v>
      </c>
      <c r="B587" s="83" t="str">
        <f>TEXT("20130807",REPT(0,8))</f>
        <v>20130807</v>
      </c>
      <c r="C587" s="83" t="s">
        <v>378</v>
      </c>
      <c r="D587" s="83" t="s">
        <v>7</v>
      </c>
      <c r="F587" s="83">
        <v>1</v>
      </c>
    </row>
    <row r="588" spans="1:6">
      <c r="A588" s="76" t="s">
        <v>237</v>
      </c>
      <c r="B588" s="83" t="str">
        <f>TEXT("20130830",REPT(0,8))</f>
        <v>20130830</v>
      </c>
      <c r="C588" s="83" t="s">
        <v>379</v>
      </c>
      <c r="D588" s="83" t="s">
        <v>7</v>
      </c>
      <c r="F588" s="83">
        <v>1</v>
      </c>
    </row>
    <row r="589" spans="1:6">
      <c r="A589" s="76" t="s">
        <v>237</v>
      </c>
      <c r="B589" s="83" t="str">
        <f>TEXT("20130831",REPT(0,8))</f>
        <v>20130831</v>
      </c>
      <c r="C589" s="83" t="s">
        <v>379</v>
      </c>
      <c r="D589" s="83" t="s">
        <v>7</v>
      </c>
      <c r="F589" s="83">
        <v>1</v>
      </c>
    </row>
    <row r="590" spans="1:6">
      <c r="A590" s="76" t="s">
        <v>237</v>
      </c>
      <c r="B590" s="83" t="str">
        <f>TEXT("20130832",REPT(0,8))</f>
        <v>20130832</v>
      </c>
      <c r="C590" s="83" t="s">
        <v>379</v>
      </c>
      <c r="D590" s="83" t="s">
        <v>7</v>
      </c>
      <c r="F590" s="83">
        <v>1</v>
      </c>
    </row>
    <row r="591" spans="1:6">
      <c r="A591" s="76" t="s">
        <v>237</v>
      </c>
      <c r="B591" s="83" t="str">
        <f>TEXT("20130833",REPT(0,8))</f>
        <v>20130833</v>
      </c>
      <c r="C591" s="83" t="s">
        <v>379</v>
      </c>
      <c r="D591" s="83" t="s">
        <v>7</v>
      </c>
      <c r="F591" s="83">
        <v>1</v>
      </c>
    </row>
    <row r="592" spans="1:6">
      <c r="A592" s="76" t="s">
        <v>237</v>
      </c>
      <c r="B592" s="83" t="str">
        <f>TEXT("20130835",REPT(0,8))</f>
        <v>20130835</v>
      </c>
      <c r="C592" s="83" t="s">
        <v>379</v>
      </c>
      <c r="D592" s="83" t="s">
        <v>7</v>
      </c>
      <c r="F592" s="83">
        <v>1</v>
      </c>
    </row>
    <row r="593" spans="1:6">
      <c r="A593" s="76" t="s">
        <v>237</v>
      </c>
      <c r="B593" s="83" t="str">
        <f>TEXT("20130836",REPT(0,8))</f>
        <v>20130836</v>
      </c>
      <c r="C593" s="83" t="s">
        <v>379</v>
      </c>
      <c r="D593" s="83" t="s">
        <v>7</v>
      </c>
      <c r="F593" s="83">
        <v>1</v>
      </c>
    </row>
    <row r="594" spans="1:6">
      <c r="A594" s="76" t="s">
        <v>237</v>
      </c>
      <c r="B594" s="83" t="str">
        <f>TEXT("20130837",REPT(0,8))</f>
        <v>20130837</v>
      </c>
      <c r="C594" s="83" t="s">
        <v>379</v>
      </c>
      <c r="D594" s="83" t="s">
        <v>7</v>
      </c>
      <c r="F594" s="83">
        <v>1</v>
      </c>
    </row>
    <row r="595" spans="1:6">
      <c r="A595" s="76" t="s">
        <v>237</v>
      </c>
      <c r="B595" s="83" t="str">
        <f>TEXT("20130838",REPT(0,8))</f>
        <v>20130838</v>
      </c>
      <c r="C595" s="83" t="s">
        <v>379</v>
      </c>
      <c r="D595" s="83" t="s">
        <v>7</v>
      </c>
      <c r="F595" s="83">
        <v>1</v>
      </c>
    </row>
    <row r="596" spans="1:6">
      <c r="A596" s="76" t="s">
        <v>237</v>
      </c>
      <c r="B596" s="83" t="str">
        <f>TEXT("20130839",REPT(0,8))</f>
        <v>20130839</v>
      </c>
      <c r="C596" s="83" t="s">
        <v>379</v>
      </c>
      <c r="D596" s="83" t="s">
        <v>7</v>
      </c>
      <c r="F596" s="83">
        <v>1</v>
      </c>
    </row>
    <row r="597" spans="1:6">
      <c r="A597" s="76" t="s">
        <v>237</v>
      </c>
      <c r="B597" s="83" t="str">
        <f>TEXT("20130840",REPT(0,8))</f>
        <v>20130840</v>
      </c>
      <c r="C597" s="83" t="s">
        <v>379</v>
      </c>
      <c r="D597" s="83" t="s">
        <v>7</v>
      </c>
      <c r="F597" s="83">
        <v>1</v>
      </c>
    </row>
    <row r="598" spans="1:6">
      <c r="A598" s="76" t="s">
        <v>237</v>
      </c>
      <c r="B598" s="83" t="str">
        <f>TEXT("20130841",REPT(0,8))</f>
        <v>20130841</v>
      </c>
      <c r="C598" s="83" t="s">
        <v>379</v>
      </c>
      <c r="D598" s="83" t="s">
        <v>7</v>
      </c>
      <c r="F598" s="83">
        <v>1</v>
      </c>
    </row>
    <row r="599" spans="1:6">
      <c r="A599" s="76" t="s">
        <v>237</v>
      </c>
      <c r="B599" s="83" t="str">
        <f>TEXT("20130842",REPT(0,8))</f>
        <v>20130842</v>
      </c>
      <c r="C599" s="83" t="s">
        <v>379</v>
      </c>
      <c r="D599" s="83" t="s">
        <v>7</v>
      </c>
      <c r="F599" s="83">
        <v>1</v>
      </c>
    </row>
    <row r="600" spans="1:6">
      <c r="A600" s="76" t="s">
        <v>237</v>
      </c>
      <c r="B600" s="83" t="str">
        <f>TEXT("20130843",REPT(0,8))</f>
        <v>20130843</v>
      </c>
      <c r="C600" s="83" t="s">
        <v>379</v>
      </c>
      <c r="D600" s="83" t="s">
        <v>7</v>
      </c>
      <c r="F600" s="83">
        <v>1</v>
      </c>
    </row>
    <row r="601" spans="1:6">
      <c r="A601" s="76" t="s">
        <v>237</v>
      </c>
      <c r="B601" s="83" t="str">
        <f>TEXT("20130844",REPT(0,8))</f>
        <v>20130844</v>
      </c>
      <c r="C601" s="83" t="s">
        <v>379</v>
      </c>
      <c r="D601" s="83" t="s">
        <v>7</v>
      </c>
      <c r="F601" s="83">
        <v>1</v>
      </c>
    </row>
    <row r="602" spans="1:6">
      <c r="A602" s="76" t="s">
        <v>237</v>
      </c>
      <c r="B602" s="83" t="str">
        <f>TEXT("20130845",REPT(0,8))</f>
        <v>20130845</v>
      </c>
      <c r="C602" s="83" t="s">
        <v>379</v>
      </c>
      <c r="D602" s="83" t="s">
        <v>7</v>
      </c>
      <c r="F602" s="83">
        <v>1</v>
      </c>
    </row>
    <row r="603" spans="1:6">
      <c r="A603" s="76" t="s">
        <v>237</v>
      </c>
      <c r="B603" s="83" t="str">
        <f>TEXT("20130846",REPT(0,8))</f>
        <v>20130846</v>
      </c>
      <c r="C603" s="83" t="s">
        <v>379</v>
      </c>
      <c r="D603" s="83" t="s">
        <v>7</v>
      </c>
      <c r="F603" s="83">
        <v>1</v>
      </c>
    </row>
    <row r="604" spans="1:6">
      <c r="A604" s="76" t="s">
        <v>237</v>
      </c>
      <c r="B604" s="83" t="str">
        <f>TEXT("20130847",REPT(0,8))</f>
        <v>20130847</v>
      </c>
      <c r="C604" s="83" t="s">
        <v>379</v>
      </c>
      <c r="D604" s="83" t="s">
        <v>7</v>
      </c>
      <c r="F604" s="83">
        <v>1</v>
      </c>
    </row>
    <row r="605" spans="1:6">
      <c r="A605" s="76" t="s">
        <v>237</v>
      </c>
      <c r="B605" s="83" t="str">
        <f>TEXT("20130848",REPT(0,8))</f>
        <v>20130848</v>
      </c>
      <c r="C605" s="83" t="s">
        <v>379</v>
      </c>
      <c r="D605" s="83" t="s">
        <v>7</v>
      </c>
      <c r="F605" s="83">
        <v>1</v>
      </c>
    </row>
    <row r="606" spans="1:6">
      <c r="A606" s="76" t="s">
        <v>237</v>
      </c>
      <c r="B606" s="83" t="str">
        <f>TEXT("20130849",REPT(0,8))</f>
        <v>20130849</v>
      </c>
      <c r="C606" s="83" t="s">
        <v>379</v>
      </c>
      <c r="D606" s="83" t="s">
        <v>7</v>
      </c>
      <c r="F606" s="83">
        <v>1</v>
      </c>
    </row>
    <row r="607" spans="1:6">
      <c r="A607" s="76" t="s">
        <v>237</v>
      </c>
      <c r="B607" s="83" t="str">
        <f>TEXT("20130850",REPT(0,8))</f>
        <v>20130850</v>
      </c>
      <c r="C607" s="83" t="s">
        <v>379</v>
      </c>
      <c r="D607" s="83" t="s">
        <v>7</v>
      </c>
      <c r="F607" s="83">
        <v>1</v>
      </c>
    </row>
    <row r="608" spans="1:6">
      <c r="A608" s="76" t="s">
        <v>237</v>
      </c>
      <c r="B608" s="83" t="str">
        <f>TEXT("20130851",REPT(0,8))</f>
        <v>20130851</v>
      </c>
      <c r="C608" s="83" t="s">
        <v>379</v>
      </c>
      <c r="D608" s="83" t="s">
        <v>7</v>
      </c>
      <c r="F608" s="83">
        <v>1</v>
      </c>
    </row>
    <row r="609" spans="1:6">
      <c r="A609" s="76" t="s">
        <v>237</v>
      </c>
      <c r="B609" s="83" t="str">
        <f>TEXT("20130852",REPT(0,8))</f>
        <v>20130852</v>
      </c>
      <c r="C609" s="83" t="s">
        <v>379</v>
      </c>
      <c r="D609" s="83" t="s">
        <v>7</v>
      </c>
      <c r="F609" s="83">
        <v>1</v>
      </c>
    </row>
    <row r="610" spans="1:6">
      <c r="A610" s="76" t="s">
        <v>237</v>
      </c>
      <c r="B610" s="83" t="str">
        <f>TEXT("20130853",REPT(0,8))</f>
        <v>20130853</v>
      </c>
      <c r="C610" s="83" t="s">
        <v>379</v>
      </c>
      <c r="D610" s="83" t="s">
        <v>7</v>
      </c>
      <c r="F610" s="83">
        <v>1</v>
      </c>
    </row>
    <row r="611" spans="1:6">
      <c r="A611" s="76" t="s">
        <v>237</v>
      </c>
      <c r="B611" s="83" t="str">
        <f>TEXT("20130854",REPT(0,8))</f>
        <v>20130854</v>
      </c>
      <c r="C611" s="83" t="s">
        <v>379</v>
      </c>
      <c r="D611" s="83" t="s">
        <v>7</v>
      </c>
      <c r="F611" s="83">
        <v>1</v>
      </c>
    </row>
    <row r="612" spans="1:6">
      <c r="A612" s="76" t="s">
        <v>237</v>
      </c>
      <c r="B612" s="83" t="str">
        <f>TEXT("20130855",REPT(0,8))</f>
        <v>20130855</v>
      </c>
      <c r="C612" s="83" t="s">
        <v>379</v>
      </c>
      <c r="D612" s="83" t="s">
        <v>7</v>
      </c>
      <c r="F612" s="83">
        <v>1</v>
      </c>
    </row>
    <row r="613" spans="1:6">
      <c r="A613" s="76" t="s">
        <v>237</v>
      </c>
      <c r="B613" s="83" t="str">
        <f>TEXT("20130856",REPT(0,8))</f>
        <v>20130856</v>
      </c>
      <c r="C613" s="83" t="s">
        <v>379</v>
      </c>
      <c r="D613" s="83" t="s">
        <v>7</v>
      </c>
      <c r="F613" s="83">
        <v>1</v>
      </c>
    </row>
    <row r="614" spans="1:6">
      <c r="A614" s="76" t="s">
        <v>237</v>
      </c>
      <c r="B614" s="83" t="str">
        <f>TEXT("20130857",REPT(0,8))</f>
        <v>20130857</v>
      </c>
      <c r="C614" s="83" t="s">
        <v>379</v>
      </c>
      <c r="D614" s="83" t="s">
        <v>7</v>
      </c>
      <c r="F614" s="83">
        <v>1</v>
      </c>
    </row>
    <row r="615" spans="1:6">
      <c r="A615" s="76" t="s">
        <v>237</v>
      </c>
      <c r="B615" s="83" t="str">
        <f>TEXT("20130809",REPT(0,8))</f>
        <v>20130809</v>
      </c>
      <c r="C615" s="83" t="s">
        <v>377</v>
      </c>
      <c r="D615" s="83" t="s">
        <v>7</v>
      </c>
      <c r="F615" s="83">
        <v>1</v>
      </c>
    </row>
    <row r="616" spans="1:6">
      <c r="A616" s="76" t="s">
        <v>237</v>
      </c>
      <c r="B616" s="83" t="str">
        <f>TEXT("20130810",REPT(0,8))</f>
        <v>20130810</v>
      </c>
      <c r="C616" s="83" t="s">
        <v>377</v>
      </c>
      <c r="D616" s="83" t="s">
        <v>7</v>
      </c>
      <c r="F616" s="83">
        <v>1</v>
      </c>
    </row>
    <row r="617" spans="1:6">
      <c r="A617" s="76" t="s">
        <v>237</v>
      </c>
      <c r="B617" s="83" t="str">
        <f>TEXT("20130811",REPT(0,8))</f>
        <v>20130811</v>
      </c>
      <c r="C617" s="83" t="s">
        <v>377</v>
      </c>
      <c r="D617" s="83" t="s">
        <v>7</v>
      </c>
      <c r="F617" s="83">
        <v>1</v>
      </c>
    </row>
    <row r="618" spans="1:6">
      <c r="A618" s="76" t="s">
        <v>237</v>
      </c>
      <c r="B618" s="83" t="str">
        <f>TEXT("20130812",REPT(0,8))</f>
        <v>20130812</v>
      </c>
      <c r="C618" s="83" t="s">
        <v>377</v>
      </c>
      <c r="D618" s="83" t="s">
        <v>7</v>
      </c>
      <c r="F618" s="83">
        <v>1</v>
      </c>
    </row>
    <row r="619" spans="1:6">
      <c r="A619" s="76" t="s">
        <v>237</v>
      </c>
      <c r="B619" s="83" t="str">
        <f>TEXT("20130813",REPT(0,8))</f>
        <v>20130813</v>
      </c>
      <c r="C619" s="83" t="s">
        <v>377</v>
      </c>
      <c r="D619" s="83" t="s">
        <v>7</v>
      </c>
      <c r="F619" s="83">
        <v>1</v>
      </c>
    </row>
    <row r="620" spans="1:6">
      <c r="A620" s="76" t="s">
        <v>237</v>
      </c>
      <c r="B620" s="83" t="str">
        <f>TEXT("20130814",REPT(0,8))</f>
        <v>20130814</v>
      </c>
      <c r="C620" s="83" t="s">
        <v>377</v>
      </c>
      <c r="D620" s="83" t="s">
        <v>7</v>
      </c>
      <c r="F620" s="83">
        <v>1</v>
      </c>
    </row>
    <row r="621" spans="1:6">
      <c r="A621" s="76" t="s">
        <v>237</v>
      </c>
      <c r="B621" s="83" t="str">
        <f>TEXT("20130815",REPT(0,8))</f>
        <v>20130815</v>
      </c>
      <c r="C621" s="83" t="s">
        <v>377</v>
      </c>
      <c r="D621" s="83" t="s">
        <v>7</v>
      </c>
      <c r="F621" s="83">
        <v>1</v>
      </c>
    </row>
    <row r="622" spans="1:6">
      <c r="A622" s="76" t="s">
        <v>237</v>
      </c>
      <c r="B622" s="83" t="str">
        <f>TEXT("20090083",REPT(0,8))</f>
        <v>20090083</v>
      </c>
      <c r="C622" s="83" t="s">
        <v>380</v>
      </c>
      <c r="D622" s="83" t="s">
        <v>7</v>
      </c>
      <c r="E622" s="82">
        <v>15313</v>
      </c>
      <c r="F622" s="83">
        <v>1</v>
      </c>
    </row>
    <row r="623" spans="1:6">
      <c r="A623" s="76" t="s">
        <v>237</v>
      </c>
      <c r="B623" s="83" t="str">
        <f>TEXT("20090086",REPT(0,8))</f>
        <v>20090086</v>
      </c>
      <c r="C623" s="83" t="s">
        <v>380</v>
      </c>
      <c r="D623" s="83" t="s">
        <v>7</v>
      </c>
      <c r="E623" s="82">
        <v>15313</v>
      </c>
      <c r="F623" s="83">
        <v>1</v>
      </c>
    </row>
    <row r="624" spans="1:6">
      <c r="A624" s="76" t="s">
        <v>237</v>
      </c>
      <c r="B624" s="83" t="str">
        <f>TEXT("20090087",REPT(0,8))</f>
        <v>20090087</v>
      </c>
      <c r="C624" s="83" t="s">
        <v>380</v>
      </c>
      <c r="D624" s="83" t="s">
        <v>7</v>
      </c>
      <c r="E624" s="82">
        <v>15313</v>
      </c>
      <c r="F624" s="83">
        <v>1</v>
      </c>
    </row>
    <row r="625" spans="1:6">
      <c r="A625" s="76" t="s">
        <v>237</v>
      </c>
      <c r="B625" s="83" t="str">
        <f>TEXT("20090091",REPT(0,8))</f>
        <v>20090091</v>
      </c>
      <c r="C625" s="83" t="s">
        <v>380</v>
      </c>
      <c r="D625" s="83" t="s">
        <v>7</v>
      </c>
      <c r="E625" s="82">
        <v>15313</v>
      </c>
      <c r="F625" s="83">
        <v>1</v>
      </c>
    </row>
    <row r="626" s="50" customFormat="1" spans="1:6">
      <c r="A626" s="76" t="s">
        <v>237</v>
      </c>
      <c r="B626" s="73" t="str">
        <f>TEXT("20040652",REPT(0,8))</f>
        <v>20040652</v>
      </c>
      <c r="C626" s="73" t="s">
        <v>381</v>
      </c>
      <c r="D626" s="72" t="s">
        <v>7</v>
      </c>
      <c r="E626" s="82"/>
      <c r="F626" s="83">
        <v>1</v>
      </c>
    </row>
    <row r="627" spans="1:6">
      <c r="A627" s="76" t="s">
        <v>237</v>
      </c>
      <c r="B627" s="83" t="str">
        <f>TEXT("20190182",REPT(0,8))</f>
        <v>20190182</v>
      </c>
      <c r="C627" s="83" t="s">
        <v>382</v>
      </c>
      <c r="D627" s="83" t="s">
        <v>7</v>
      </c>
      <c r="F627" s="83">
        <v>1</v>
      </c>
    </row>
    <row r="628" spans="1:6">
      <c r="A628" s="76" t="s">
        <v>237</v>
      </c>
      <c r="B628" s="83" t="str">
        <f>TEXT("20190183",REPT(0,8))</f>
        <v>20190183</v>
      </c>
      <c r="C628" s="83" t="s">
        <v>382</v>
      </c>
      <c r="D628" s="83" t="s">
        <v>7</v>
      </c>
      <c r="F628" s="83">
        <v>1</v>
      </c>
    </row>
    <row r="629" spans="1:6">
      <c r="A629" s="76" t="s">
        <v>237</v>
      </c>
      <c r="B629" s="83" t="str">
        <f>TEXT("20130035",REPT(0,8))</f>
        <v>20130035</v>
      </c>
      <c r="C629" s="83" t="s">
        <v>383</v>
      </c>
      <c r="D629" s="83" t="s">
        <v>7</v>
      </c>
      <c r="F629" s="83">
        <v>1</v>
      </c>
    </row>
    <row r="630" spans="1:6">
      <c r="A630" s="76" t="s">
        <v>237</v>
      </c>
      <c r="B630" s="83" t="str">
        <f>TEXT("20130036",REPT(0,8))</f>
        <v>20130036</v>
      </c>
      <c r="C630" s="83" t="s">
        <v>383</v>
      </c>
      <c r="D630" s="83" t="s">
        <v>7</v>
      </c>
      <c r="F630" s="83">
        <v>1</v>
      </c>
    </row>
    <row r="631" spans="1:6">
      <c r="A631" s="76" t="s">
        <v>237</v>
      </c>
      <c r="B631" s="83" t="str">
        <f>TEXT("20130037",REPT(0,8))</f>
        <v>20130037</v>
      </c>
      <c r="C631" s="83" t="s">
        <v>383</v>
      </c>
      <c r="D631" s="83" t="s">
        <v>7</v>
      </c>
      <c r="F631" s="83">
        <v>1</v>
      </c>
    </row>
    <row r="632" spans="1:6">
      <c r="A632" s="76" t="s">
        <v>237</v>
      </c>
      <c r="B632" s="83" t="str">
        <f>TEXT("20130038",REPT(0,8))</f>
        <v>20130038</v>
      </c>
      <c r="C632" s="83" t="s">
        <v>383</v>
      </c>
      <c r="D632" s="83" t="s">
        <v>7</v>
      </c>
      <c r="F632" s="83">
        <v>1</v>
      </c>
    </row>
    <row r="633" spans="1:6">
      <c r="A633" s="76" t="s">
        <v>237</v>
      </c>
      <c r="B633" s="83" t="str">
        <f>TEXT("20130039",REPT(0,8))</f>
        <v>20130039</v>
      </c>
      <c r="C633" s="83" t="s">
        <v>383</v>
      </c>
      <c r="D633" s="83" t="s">
        <v>7</v>
      </c>
      <c r="F633" s="83">
        <v>1</v>
      </c>
    </row>
    <row r="634" spans="1:6">
      <c r="A634" s="76" t="s">
        <v>237</v>
      </c>
      <c r="B634" s="83" t="str">
        <f>TEXT("20130040",REPT(0,8))</f>
        <v>20130040</v>
      </c>
      <c r="C634" s="83" t="s">
        <v>383</v>
      </c>
      <c r="D634" s="83" t="s">
        <v>7</v>
      </c>
      <c r="F634" s="83">
        <v>1</v>
      </c>
    </row>
    <row r="635" spans="1:6">
      <c r="A635" s="76" t="s">
        <v>237</v>
      </c>
      <c r="B635" s="83" t="str">
        <f>TEXT("20130041",REPT(0,8))</f>
        <v>20130041</v>
      </c>
      <c r="C635" s="83" t="s">
        <v>383</v>
      </c>
      <c r="D635" s="83" t="s">
        <v>7</v>
      </c>
      <c r="F635" s="83">
        <v>1</v>
      </c>
    </row>
    <row r="636" spans="1:6">
      <c r="A636" s="76" t="s">
        <v>237</v>
      </c>
      <c r="B636" s="83" t="str">
        <f>TEXT("20130042",REPT(0,8))</f>
        <v>20130042</v>
      </c>
      <c r="C636" s="83" t="s">
        <v>383</v>
      </c>
      <c r="D636" s="83" t="s">
        <v>7</v>
      </c>
      <c r="F636" s="83">
        <v>1</v>
      </c>
    </row>
    <row r="637" s="50" customFormat="1" spans="1:6">
      <c r="A637" s="76" t="s">
        <v>237</v>
      </c>
      <c r="B637" s="73" t="str">
        <f>TEXT("20120943",REPT(0,8))</f>
        <v>20120943</v>
      </c>
      <c r="C637" s="73" t="s">
        <v>96</v>
      </c>
      <c r="D637" s="72" t="s">
        <v>7</v>
      </c>
      <c r="E637" s="82"/>
      <c r="F637" s="83">
        <v>1</v>
      </c>
    </row>
    <row r="638" s="76" customFormat="1" spans="1:2565">
      <c r="A638" s="76" t="s">
        <v>237</v>
      </c>
      <c r="B638" s="83" t="str">
        <f>TEXT("20120827",REPT(0,8))</f>
        <v>20120827</v>
      </c>
      <c r="C638" s="83" t="s">
        <v>49</v>
      </c>
      <c r="D638" s="83" t="s">
        <v>7</v>
      </c>
      <c r="E638" s="82"/>
      <c r="F638" s="83">
        <v>1</v>
      </c>
      <c r="JA638" s="50"/>
      <c r="SW638" s="50"/>
      <c r="ACS638" s="50"/>
      <c r="AMO638" s="50"/>
      <c r="AWK638" s="50"/>
      <c r="BGG638" s="50"/>
      <c r="BQC638" s="50"/>
      <c r="BZY638" s="50"/>
      <c r="CJU638" s="50"/>
      <c r="CTQ638" s="50"/>
    </row>
    <row r="639" spans="1:6">
      <c r="A639" s="76" t="s">
        <v>237</v>
      </c>
      <c r="B639" s="83" t="str">
        <f>TEXT("20130422",REPT(0,8))</f>
        <v>20130422</v>
      </c>
      <c r="C639" s="83" t="s">
        <v>96</v>
      </c>
      <c r="D639" s="83" t="s">
        <v>7</v>
      </c>
      <c r="F639" s="83">
        <v>1</v>
      </c>
    </row>
    <row r="640" spans="1:6">
      <c r="A640" s="76" t="s">
        <v>237</v>
      </c>
      <c r="B640" s="83" t="str">
        <f>TEXT("20130146",REPT(0,8))</f>
        <v>20130146</v>
      </c>
      <c r="C640" s="83" t="s">
        <v>96</v>
      </c>
      <c r="D640" s="83" t="s">
        <v>7</v>
      </c>
      <c r="E640" s="82">
        <v>15317</v>
      </c>
      <c r="F640" s="83">
        <v>1</v>
      </c>
    </row>
    <row r="641" spans="1:6">
      <c r="A641" s="76" t="s">
        <v>237</v>
      </c>
      <c r="B641" s="83" t="str">
        <f>TEXT("20210059",REPT(0,8))</f>
        <v>20210059</v>
      </c>
      <c r="C641" s="83" t="s">
        <v>384</v>
      </c>
      <c r="D641" s="83" t="s">
        <v>7</v>
      </c>
      <c r="F641" s="83">
        <v>1</v>
      </c>
    </row>
    <row r="642" spans="1:6">
      <c r="A642" s="76" t="s">
        <v>237</v>
      </c>
      <c r="B642" s="83" t="str">
        <f>TEXT("20210060",REPT(0,8))</f>
        <v>20210060</v>
      </c>
      <c r="C642" s="83" t="s">
        <v>384</v>
      </c>
      <c r="D642" s="83" t="s">
        <v>7</v>
      </c>
      <c r="F642" s="83">
        <v>1</v>
      </c>
    </row>
    <row r="643" spans="1:6">
      <c r="A643" s="76" t="s">
        <v>237</v>
      </c>
      <c r="B643" s="83" t="str">
        <f>TEXT("20210061",REPT(0,8))</f>
        <v>20210061</v>
      </c>
      <c r="C643" s="83" t="s">
        <v>384</v>
      </c>
      <c r="D643" s="83" t="s">
        <v>7</v>
      </c>
      <c r="F643" s="83">
        <v>1</v>
      </c>
    </row>
    <row r="644" spans="1:6">
      <c r="A644" s="76" t="s">
        <v>237</v>
      </c>
      <c r="B644" s="83" t="str">
        <f>TEXT("20210062",REPT(0,8))</f>
        <v>20210062</v>
      </c>
      <c r="C644" s="83" t="s">
        <v>384</v>
      </c>
      <c r="D644" s="83" t="s">
        <v>7</v>
      </c>
      <c r="F644" s="83">
        <v>1</v>
      </c>
    </row>
    <row r="645" spans="1:6">
      <c r="A645" s="76" t="s">
        <v>237</v>
      </c>
      <c r="B645" s="83" t="str">
        <f>TEXT("20210063",REPT(0,8))</f>
        <v>20210063</v>
      </c>
      <c r="C645" s="83" t="s">
        <v>384</v>
      </c>
      <c r="D645" s="83" t="s">
        <v>7</v>
      </c>
      <c r="F645" s="83">
        <v>1</v>
      </c>
    </row>
    <row r="646" spans="1:6">
      <c r="A646" s="76" t="s">
        <v>237</v>
      </c>
      <c r="B646" s="83" t="str">
        <f>TEXT("20210064",REPT(0,8))</f>
        <v>20210064</v>
      </c>
      <c r="C646" s="83" t="s">
        <v>384</v>
      </c>
      <c r="D646" s="83" t="s">
        <v>7</v>
      </c>
      <c r="F646" s="83">
        <v>1</v>
      </c>
    </row>
    <row r="647" spans="1:6">
      <c r="A647" s="76" t="s">
        <v>237</v>
      </c>
      <c r="B647" s="83" t="str">
        <f>TEXT("20210065",REPT(0,8))</f>
        <v>20210065</v>
      </c>
      <c r="C647" s="83" t="s">
        <v>384</v>
      </c>
      <c r="D647" s="83" t="s">
        <v>7</v>
      </c>
      <c r="F647" s="83">
        <v>1</v>
      </c>
    </row>
    <row r="648" spans="1:6">
      <c r="A648" s="76" t="s">
        <v>237</v>
      </c>
      <c r="B648" s="83" t="str">
        <f>TEXT("20210066",REPT(0,8))</f>
        <v>20210066</v>
      </c>
      <c r="C648" s="83" t="s">
        <v>384</v>
      </c>
      <c r="D648" s="83" t="s">
        <v>7</v>
      </c>
      <c r="F648" s="83">
        <v>1</v>
      </c>
    </row>
    <row r="649" spans="1:6">
      <c r="A649" s="76" t="s">
        <v>237</v>
      </c>
      <c r="B649" s="83" t="str">
        <f>TEXT("20210067",REPT(0,8))</f>
        <v>20210067</v>
      </c>
      <c r="C649" s="83" t="s">
        <v>384</v>
      </c>
      <c r="D649" s="83" t="s">
        <v>7</v>
      </c>
      <c r="F649" s="83">
        <v>1</v>
      </c>
    </row>
    <row r="650" spans="1:6">
      <c r="A650" s="76" t="s">
        <v>237</v>
      </c>
      <c r="B650" s="83" t="str">
        <f>TEXT("20210068",REPT(0,8))</f>
        <v>20210068</v>
      </c>
      <c r="C650" s="83" t="s">
        <v>384</v>
      </c>
      <c r="D650" s="83" t="s">
        <v>7</v>
      </c>
      <c r="F650" s="83">
        <v>1</v>
      </c>
    </row>
    <row r="651" spans="1:6">
      <c r="A651" s="76" t="s">
        <v>237</v>
      </c>
      <c r="B651" s="83" t="str">
        <f>TEXT("20210069",REPT(0,8))</f>
        <v>20210069</v>
      </c>
      <c r="C651" s="83" t="s">
        <v>384</v>
      </c>
      <c r="D651" s="83" t="s">
        <v>7</v>
      </c>
      <c r="F651" s="83">
        <v>1</v>
      </c>
    </row>
    <row r="652" spans="1:6">
      <c r="A652" s="76" t="s">
        <v>237</v>
      </c>
      <c r="B652" s="83" t="str">
        <f>TEXT("20210070",REPT(0,8))</f>
        <v>20210070</v>
      </c>
      <c r="C652" s="83" t="s">
        <v>384</v>
      </c>
      <c r="D652" s="83" t="s">
        <v>7</v>
      </c>
      <c r="F652" s="83">
        <v>1</v>
      </c>
    </row>
    <row r="653" spans="1:6">
      <c r="A653" s="76" t="s">
        <v>237</v>
      </c>
      <c r="B653" s="83" t="str">
        <f>TEXT("20210071",REPT(0,8))</f>
        <v>20210071</v>
      </c>
      <c r="C653" s="83" t="s">
        <v>384</v>
      </c>
      <c r="D653" s="83" t="s">
        <v>7</v>
      </c>
      <c r="F653" s="83">
        <v>1</v>
      </c>
    </row>
    <row r="654" spans="1:6">
      <c r="A654" s="76" t="s">
        <v>237</v>
      </c>
      <c r="B654" s="83" t="str">
        <f>TEXT("20210072",REPT(0,8))</f>
        <v>20210072</v>
      </c>
      <c r="C654" s="83" t="s">
        <v>384</v>
      </c>
      <c r="D654" s="83" t="s">
        <v>7</v>
      </c>
      <c r="F654" s="83">
        <v>1</v>
      </c>
    </row>
    <row r="655" spans="1:6">
      <c r="A655" s="76" t="s">
        <v>237</v>
      </c>
      <c r="B655" s="83" t="str">
        <f>TEXT("20210073",REPT(0,8))</f>
        <v>20210073</v>
      </c>
      <c r="C655" s="83" t="s">
        <v>384</v>
      </c>
      <c r="D655" s="83" t="s">
        <v>7</v>
      </c>
      <c r="F655" s="83">
        <v>1</v>
      </c>
    </row>
    <row r="656" spans="1:6">
      <c r="A656" s="76" t="s">
        <v>237</v>
      </c>
      <c r="B656" s="83" t="str">
        <f>TEXT("20210074",REPT(0,8))</f>
        <v>20210074</v>
      </c>
      <c r="C656" s="83" t="s">
        <v>384</v>
      </c>
      <c r="D656" s="83" t="s">
        <v>7</v>
      </c>
      <c r="F656" s="83">
        <v>1</v>
      </c>
    </row>
    <row r="657" spans="1:6">
      <c r="A657" s="76" t="s">
        <v>237</v>
      </c>
      <c r="B657" s="83" t="str">
        <f>TEXT("20210075",REPT(0,8))</f>
        <v>20210075</v>
      </c>
      <c r="C657" s="83" t="s">
        <v>384</v>
      </c>
      <c r="D657" s="83" t="s">
        <v>7</v>
      </c>
      <c r="F657" s="83">
        <v>1</v>
      </c>
    </row>
    <row r="658" spans="1:6">
      <c r="A658" s="76" t="s">
        <v>237</v>
      </c>
      <c r="B658" s="83" t="str">
        <f>TEXT("20210076",REPT(0,8))</f>
        <v>20210076</v>
      </c>
      <c r="C658" s="83" t="s">
        <v>384</v>
      </c>
      <c r="D658" s="83" t="s">
        <v>7</v>
      </c>
      <c r="F658" s="83">
        <v>1</v>
      </c>
    </row>
    <row r="659" spans="1:6">
      <c r="A659" s="76" t="s">
        <v>237</v>
      </c>
      <c r="B659" s="83" t="str">
        <f>TEXT("20210077",REPT(0,8))</f>
        <v>20210077</v>
      </c>
      <c r="C659" s="83" t="s">
        <v>384</v>
      </c>
      <c r="D659" s="83" t="s">
        <v>7</v>
      </c>
      <c r="F659" s="83">
        <v>1</v>
      </c>
    </row>
    <row r="660" spans="1:6">
      <c r="A660" s="76" t="s">
        <v>237</v>
      </c>
      <c r="B660" s="83" t="str">
        <f>TEXT("20210078",REPT(0,8))</f>
        <v>20210078</v>
      </c>
      <c r="C660" s="83" t="s">
        <v>384</v>
      </c>
      <c r="D660" s="83" t="s">
        <v>7</v>
      </c>
      <c r="F660" s="83">
        <v>1</v>
      </c>
    </row>
    <row r="661" spans="1:6">
      <c r="A661" s="76" t="s">
        <v>237</v>
      </c>
      <c r="B661" s="83" t="str">
        <f>TEXT("20210079",REPT(0,8))</f>
        <v>20210079</v>
      </c>
      <c r="C661" s="83" t="s">
        <v>384</v>
      </c>
      <c r="D661" s="83" t="s">
        <v>7</v>
      </c>
      <c r="F661" s="83">
        <v>1</v>
      </c>
    </row>
    <row r="662" spans="1:6">
      <c r="A662" s="76" t="s">
        <v>237</v>
      </c>
      <c r="B662" s="83" t="str">
        <f>TEXT("20210080",REPT(0,8))</f>
        <v>20210080</v>
      </c>
      <c r="C662" s="83" t="s">
        <v>384</v>
      </c>
      <c r="D662" s="83" t="s">
        <v>7</v>
      </c>
      <c r="F662" s="83">
        <v>1</v>
      </c>
    </row>
    <row r="663" spans="1:6">
      <c r="A663" s="76" t="s">
        <v>237</v>
      </c>
      <c r="B663" s="83" t="str">
        <f>TEXT("20210081",REPT(0,8))</f>
        <v>20210081</v>
      </c>
      <c r="C663" s="83" t="s">
        <v>384</v>
      </c>
      <c r="D663" s="83" t="s">
        <v>7</v>
      </c>
      <c r="F663" s="83">
        <v>1</v>
      </c>
    </row>
    <row r="664" spans="1:6">
      <c r="A664" s="76" t="s">
        <v>237</v>
      </c>
      <c r="B664" s="83" t="str">
        <f>TEXT("20210082",REPT(0,8))</f>
        <v>20210082</v>
      </c>
      <c r="C664" s="83" t="s">
        <v>384</v>
      </c>
      <c r="D664" s="83" t="s">
        <v>7</v>
      </c>
      <c r="F664" s="83">
        <v>1</v>
      </c>
    </row>
    <row r="665" spans="1:6">
      <c r="A665" s="76" t="s">
        <v>237</v>
      </c>
      <c r="B665" s="83" t="str">
        <f>TEXT("20210083",REPT(0,8))</f>
        <v>20210083</v>
      </c>
      <c r="C665" s="83" t="s">
        <v>384</v>
      </c>
      <c r="D665" s="83" t="s">
        <v>7</v>
      </c>
      <c r="F665" s="83">
        <v>1</v>
      </c>
    </row>
    <row r="666" spans="1:6">
      <c r="A666" s="76" t="s">
        <v>237</v>
      </c>
      <c r="B666" s="83" t="str">
        <f>TEXT("20210084",REPT(0,8))</f>
        <v>20210084</v>
      </c>
      <c r="C666" s="83" t="s">
        <v>384</v>
      </c>
      <c r="D666" s="83" t="s">
        <v>7</v>
      </c>
      <c r="F666" s="83">
        <v>1</v>
      </c>
    </row>
    <row r="667" spans="1:6">
      <c r="A667" s="76" t="s">
        <v>237</v>
      </c>
      <c r="B667" s="83" t="str">
        <f>TEXT("20210085",REPT(0,8))</f>
        <v>20210085</v>
      </c>
      <c r="C667" s="83" t="s">
        <v>384</v>
      </c>
      <c r="D667" s="83" t="s">
        <v>7</v>
      </c>
      <c r="F667" s="83">
        <v>1</v>
      </c>
    </row>
    <row r="668" spans="1:6">
      <c r="A668" s="76" t="s">
        <v>237</v>
      </c>
      <c r="B668" s="83" t="str">
        <f>TEXT("20210086",REPT(0,8))</f>
        <v>20210086</v>
      </c>
      <c r="C668" s="83" t="s">
        <v>384</v>
      </c>
      <c r="D668" s="83" t="s">
        <v>7</v>
      </c>
      <c r="F668" s="83">
        <v>1</v>
      </c>
    </row>
    <row r="669" spans="1:6">
      <c r="A669" s="76" t="s">
        <v>237</v>
      </c>
      <c r="B669" s="83" t="str">
        <f>TEXT("20210087",REPT(0,8))</f>
        <v>20210087</v>
      </c>
      <c r="C669" s="83" t="s">
        <v>384</v>
      </c>
      <c r="D669" s="83" t="s">
        <v>7</v>
      </c>
      <c r="F669" s="83">
        <v>1</v>
      </c>
    </row>
    <row r="670" spans="1:6">
      <c r="A670" s="76" t="s">
        <v>237</v>
      </c>
      <c r="B670" s="83" t="str">
        <f>TEXT("20210088",REPT(0,8))</f>
        <v>20210088</v>
      </c>
      <c r="C670" s="83" t="s">
        <v>384</v>
      </c>
      <c r="D670" s="83" t="s">
        <v>7</v>
      </c>
      <c r="F670" s="83">
        <v>1</v>
      </c>
    </row>
    <row r="671" spans="1:6">
      <c r="A671" s="76" t="s">
        <v>237</v>
      </c>
      <c r="B671" s="83" t="str">
        <f>TEXT("20210089",REPT(0,8))</f>
        <v>20210089</v>
      </c>
      <c r="C671" s="83" t="s">
        <v>384</v>
      </c>
      <c r="D671" s="83" t="s">
        <v>7</v>
      </c>
      <c r="F671" s="83">
        <v>1</v>
      </c>
    </row>
    <row r="672" spans="1:6">
      <c r="A672" s="76" t="s">
        <v>237</v>
      </c>
      <c r="B672" s="83" t="str">
        <f>TEXT("20210090",REPT(0,8))</f>
        <v>20210090</v>
      </c>
      <c r="C672" s="83" t="s">
        <v>384</v>
      </c>
      <c r="D672" s="83" t="s">
        <v>7</v>
      </c>
      <c r="F672" s="83">
        <v>1</v>
      </c>
    </row>
    <row r="673" spans="1:6">
      <c r="A673" s="76" t="s">
        <v>237</v>
      </c>
      <c r="B673" s="83" t="str">
        <f>TEXT("20210091",REPT(0,8))</f>
        <v>20210091</v>
      </c>
      <c r="C673" s="83" t="s">
        <v>384</v>
      </c>
      <c r="D673" s="83" t="s">
        <v>7</v>
      </c>
      <c r="F673" s="83">
        <v>1</v>
      </c>
    </row>
    <row r="674" spans="1:6">
      <c r="A674" s="76" t="s">
        <v>237</v>
      </c>
      <c r="B674" s="83" t="str">
        <f>TEXT("20210092",REPT(0,8))</f>
        <v>20210092</v>
      </c>
      <c r="C674" s="83" t="s">
        <v>384</v>
      </c>
      <c r="D674" s="83" t="s">
        <v>7</v>
      </c>
      <c r="F674" s="83">
        <v>1</v>
      </c>
    </row>
    <row r="675" spans="1:6">
      <c r="A675" s="76" t="s">
        <v>237</v>
      </c>
      <c r="B675" s="83" t="str">
        <f>TEXT("20210093",REPT(0,8))</f>
        <v>20210093</v>
      </c>
      <c r="C675" s="83" t="s">
        <v>384</v>
      </c>
      <c r="D675" s="83" t="s">
        <v>7</v>
      </c>
      <c r="F675" s="83">
        <v>1</v>
      </c>
    </row>
    <row r="676" spans="1:6">
      <c r="A676" s="76" t="s">
        <v>237</v>
      </c>
      <c r="B676" s="83" t="str">
        <f>TEXT("20210094",REPT(0,8))</f>
        <v>20210094</v>
      </c>
      <c r="C676" s="83" t="s">
        <v>384</v>
      </c>
      <c r="D676" s="83" t="s">
        <v>7</v>
      </c>
      <c r="F676" s="83">
        <v>1</v>
      </c>
    </row>
    <row r="677" spans="1:6">
      <c r="A677" s="76" t="s">
        <v>237</v>
      </c>
      <c r="B677" s="83" t="str">
        <f>TEXT("20210095",REPT(0,8))</f>
        <v>20210095</v>
      </c>
      <c r="C677" s="83" t="s">
        <v>384</v>
      </c>
      <c r="D677" s="83" t="s">
        <v>7</v>
      </c>
      <c r="F677" s="83">
        <v>1</v>
      </c>
    </row>
    <row r="678" spans="1:6">
      <c r="A678" s="76" t="s">
        <v>237</v>
      </c>
      <c r="B678" s="83" t="str">
        <f>TEXT("20210096",REPT(0,8))</f>
        <v>20210096</v>
      </c>
      <c r="C678" s="83" t="s">
        <v>384</v>
      </c>
      <c r="D678" s="83" t="s">
        <v>7</v>
      </c>
      <c r="F678" s="83">
        <v>1</v>
      </c>
    </row>
    <row r="679" spans="1:6">
      <c r="A679" s="76" t="s">
        <v>237</v>
      </c>
      <c r="B679" s="83" t="str">
        <f>TEXT("20210097",REPT(0,8))</f>
        <v>20210097</v>
      </c>
      <c r="C679" s="83" t="s">
        <v>384</v>
      </c>
      <c r="D679" s="83" t="s">
        <v>7</v>
      </c>
      <c r="F679" s="83">
        <v>1</v>
      </c>
    </row>
    <row r="680" spans="1:6">
      <c r="A680" s="76" t="s">
        <v>237</v>
      </c>
      <c r="B680" s="83" t="str">
        <f>TEXT("20210098",REPT(0,8))</f>
        <v>20210098</v>
      </c>
      <c r="C680" s="83" t="s">
        <v>384</v>
      </c>
      <c r="D680" s="83" t="s">
        <v>7</v>
      </c>
      <c r="F680" s="83">
        <v>1</v>
      </c>
    </row>
    <row r="681" spans="1:6">
      <c r="A681" s="76" t="s">
        <v>237</v>
      </c>
      <c r="B681" s="83" t="str">
        <f>TEXT("20210099",REPT(0,8))</f>
        <v>20210099</v>
      </c>
      <c r="C681" s="83" t="s">
        <v>384</v>
      </c>
      <c r="D681" s="83" t="s">
        <v>7</v>
      </c>
      <c r="F681" s="83">
        <v>1</v>
      </c>
    </row>
    <row r="682" spans="1:6">
      <c r="A682" s="76" t="s">
        <v>237</v>
      </c>
      <c r="B682" s="83" t="str">
        <f>TEXT("20210100",REPT(0,8))</f>
        <v>20210100</v>
      </c>
      <c r="C682" s="83" t="s">
        <v>384</v>
      </c>
      <c r="D682" s="83" t="s">
        <v>7</v>
      </c>
      <c r="F682" s="83">
        <v>1</v>
      </c>
    </row>
    <row r="683" spans="1:6">
      <c r="A683" s="76" t="s">
        <v>237</v>
      </c>
      <c r="B683" s="83" t="str">
        <f>TEXT("20210101",REPT(0,8))</f>
        <v>20210101</v>
      </c>
      <c r="C683" s="83" t="s">
        <v>384</v>
      </c>
      <c r="D683" s="83" t="s">
        <v>7</v>
      </c>
      <c r="F683" s="83">
        <v>1</v>
      </c>
    </row>
    <row r="684" spans="1:6">
      <c r="A684" s="76" t="s">
        <v>237</v>
      </c>
      <c r="B684" s="83" t="str">
        <f>TEXT("20210102",REPT(0,8))</f>
        <v>20210102</v>
      </c>
      <c r="C684" s="83" t="s">
        <v>384</v>
      </c>
      <c r="D684" s="83" t="s">
        <v>7</v>
      </c>
      <c r="F684" s="83">
        <v>1</v>
      </c>
    </row>
    <row r="685" spans="1:6">
      <c r="A685" s="76" t="s">
        <v>237</v>
      </c>
      <c r="B685" s="83" t="str">
        <f>TEXT("20210103",REPT(0,8))</f>
        <v>20210103</v>
      </c>
      <c r="C685" s="83" t="s">
        <v>384</v>
      </c>
      <c r="D685" s="83" t="s">
        <v>7</v>
      </c>
      <c r="F685" s="83">
        <v>1</v>
      </c>
    </row>
    <row r="686" spans="1:6">
      <c r="A686" s="76" t="s">
        <v>237</v>
      </c>
      <c r="B686" s="83" t="str">
        <f>TEXT("20210104",REPT(0,8))</f>
        <v>20210104</v>
      </c>
      <c r="C686" s="83" t="s">
        <v>384</v>
      </c>
      <c r="D686" s="83" t="s">
        <v>7</v>
      </c>
      <c r="F686" s="83">
        <v>1</v>
      </c>
    </row>
    <row r="687" spans="1:6">
      <c r="A687" s="76" t="s">
        <v>237</v>
      </c>
      <c r="B687" s="83" t="str">
        <f>TEXT("20210105",REPT(0,8))</f>
        <v>20210105</v>
      </c>
      <c r="C687" s="83" t="s">
        <v>384</v>
      </c>
      <c r="D687" s="83" t="s">
        <v>7</v>
      </c>
      <c r="F687" s="83">
        <v>1</v>
      </c>
    </row>
    <row r="688" spans="1:6">
      <c r="A688" s="76" t="s">
        <v>237</v>
      </c>
      <c r="B688" s="83" t="str">
        <f>TEXT("20210106",REPT(0,8))</f>
        <v>20210106</v>
      </c>
      <c r="C688" s="83" t="s">
        <v>384</v>
      </c>
      <c r="D688" s="83" t="s">
        <v>7</v>
      </c>
      <c r="F688" s="83">
        <v>1</v>
      </c>
    </row>
    <row r="689" spans="1:6">
      <c r="A689" s="76" t="s">
        <v>237</v>
      </c>
      <c r="B689" s="83" t="str">
        <f>TEXT("20210107",REPT(0,8))</f>
        <v>20210107</v>
      </c>
      <c r="C689" s="83" t="s">
        <v>384</v>
      </c>
      <c r="D689" s="83" t="s">
        <v>7</v>
      </c>
      <c r="F689" s="83">
        <v>1</v>
      </c>
    </row>
    <row r="690" spans="1:6">
      <c r="A690" s="76" t="s">
        <v>237</v>
      </c>
      <c r="B690" s="83" t="str">
        <f>TEXT("20210108",REPT(0,8))</f>
        <v>20210108</v>
      </c>
      <c r="C690" s="83" t="s">
        <v>384</v>
      </c>
      <c r="D690" s="83" t="s">
        <v>7</v>
      </c>
      <c r="F690" s="83">
        <v>1</v>
      </c>
    </row>
    <row r="691" s="50" customFormat="1" spans="1:6">
      <c r="A691" s="76" t="s">
        <v>237</v>
      </c>
      <c r="B691" s="73" t="str">
        <f>TEXT("20051494",REPT(0,8))</f>
        <v>20051494</v>
      </c>
      <c r="C691" s="73" t="s">
        <v>385</v>
      </c>
      <c r="D691" s="72" t="s">
        <v>7</v>
      </c>
      <c r="E691" s="82"/>
      <c r="F691" s="83">
        <v>1</v>
      </c>
    </row>
    <row r="692" s="50" customFormat="1" spans="1:6">
      <c r="A692" s="76" t="s">
        <v>237</v>
      </c>
      <c r="B692" s="73" t="str">
        <f>TEXT("20051495",REPT(0,8))</f>
        <v>20051495</v>
      </c>
      <c r="C692" s="73" t="s">
        <v>385</v>
      </c>
      <c r="D692" s="72" t="s">
        <v>7</v>
      </c>
      <c r="E692" s="82"/>
      <c r="F692" s="83">
        <v>1</v>
      </c>
    </row>
    <row r="693" s="50" customFormat="1" spans="1:6">
      <c r="A693" s="76" t="s">
        <v>237</v>
      </c>
      <c r="B693" s="73" t="str">
        <f>TEXT("20051496",REPT(0,8))</f>
        <v>20051496</v>
      </c>
      <c r="C693" s="73" t="s">
        <v>385</v>
      </c>
      <c r="D693" s="72" t="s">
        <v>7</v>
      </c>
      <c r="E693" s="82"/>
      <c r="F693" s="83">
        <v>1</v>
      </c>
    </row>
    <row r="694" s="50" customFormat="1" spans="1:6">
      <c r="A694" s="76" t="s">
        <v>237</v>
      </c>
      <c r="B694" s="73" t="str">
        <f>TEXT("20051497",REPT(0,8))</f>
        <v>20051497</v>
      </c>
      <c r="C694" s="73" t="s">
        <v>385</v>
      </c>
      <c r="D694" s="72" t="s">
        <v>7</v>
      </c>
      <c r="E694" s="82"/>
      <c r="F694" s="83">
        <v>1</v>
      </c>
    </row>
    <row r="695" s="50" customFormat="1" spans="1:6">
      <c r="A695" s="76" t="s">
        <v>237</v>
      </c>
      <c r="B695" s="73" t="str">
        <f>TEXT("20051498",REPT(0,8))</f>
        <v>20051498</v>
      </c>
      <c r="C695" s="73" t="s">
        <v>385</v>
      </c>
      <c r="D695" s="72" t="s">
        <v>7</v>
      </c>
      <c r="E695" s="82"/>
      <c r="F695" s="83">
        <v>1</v>
      </c>
    </row>
    <row r="696" s="50" customFormat="1" spans="1:6">
      <c r="A696" s="76" t="s">
        <v>237</v>
      </c>
      <c r="B696" s="73" t="str">
        <f>TEXT("20051499",REPT(0,8))</f>
        <v>20051499</v>
      </c>
      <c r="C696" s="73" t="s">
        <v>385</v>
      </c>
      <c r="D696" s="72" t="s">
        <v>7</v>
      </c>
      <c r="E696" s="82"/>
      <c r="F696" s="83">
        <v>1</v>
      </c>
    </row>
    <row r="697" s="50" customFormat="1" spans="1:6">
      <c r="A697" s="76" t="s">
        <v>237</v>
      </c>
      <c r="B697" s="73" t="str">
        <f>TEXT("20051500",REPT(0,8))</f>
        <v>20051500</v>
      </c>
      <c r="C697" s="73" t="s">
        <v>385</v>
      </c>
      <c r="D697" s="72" t="s">
        <v>7</v>
      </c>
      <c r="E697" s="82"/>
      <c r="F697" s="83">
        <v>1</v>
      </c>
    </row>
    <row r="698" s="50" customFormat="1" spans="1:6">
      <c r="A698" s="76" t="s">
        <v>237</v>
      </c>
      <c r="B698" s="73" t="str">
        <f>TEXT("20051501",REPT(0,8))</f>
        <v>20051501</v>
      </c>
      <c r="C698" s="73" t="s">
        <v>385</v>
      </c>
      <c r="D698" s="72" t="s">
        <v>7</v>
      </c>
      <c r="E698" s="82"/>
      <c r="F698" s="83">
        <v>1</v>
      </c>
    </row>
    <row r="699" s="50" customFormat="1" spans="1:6">
      <c r="A699" s="76" t="s">
        <v>237</v>
      </c>
      <c r="B699" s="73" t="str">
        <f>TEXT("20051502",REPT(0,8))</f>
        <v>20051502</v>
      </c>
      <c r="C699" s="73" t="s">
        <v>385</v>
      </c>
      <c r="D699" s="72" t="s">
        <v>7</v>
      </c>
      <c r="E699" s="82"/>
      <c r="F699" s="83">
        <v>1</v>
      </c>
    </row>
    <row r="700" s="50" customFormat="1" spans="1:6">
      <c r="A700" s="76" t="s">
        <v>237</v>
      </c>
      <c r="B700" s="73" t="str">
        <f>TEXT("20051503",REPT(0,8))</f>
        <v>20051503</v>
      </c>
      <c r="C700" s="73" t="s">
        <v>385</v>
      </c>
      <c r="D700" s="72" t="s">
        <v>7</v>
      </c>
      <c r="E700" s="82"/>
      <c r="F700" s="83">
        <v>1</v>
      </c>
    </row>
    <row r="701" s="50" customFormat="1" spans="1:6">
      <c r="A701" s="76" t="s">
        <v>237</v>
      </c>
      <c r="B701" s="73" t="str">
        <f>TEXT("20051504",REPT(0,8))</f>
        <v>20051504</v>
      </c>
      <c r="C701" s="73" t="s">
        <v>385</v>
      </c>
      <c r="D701" s="72" t="s">
        <v>7</v>
      </c>
      <c r="E701" s="82"/>
      <c r="F701" s="83">
        <v>1</v>
      </c>
    </row>
    <row r="702" s="50" customFormat="1" spans="1:6">
      <c r="A702" s="76" t="s">
        <v>237</v>
      </c>
      <c r="B702" s="73" t="str">
        <f>TEXT("20051505",REPT(0,8))</f>
        <v>20051505</v>
      </c>
      <c r="C702" s="73" t="s">
        <v>385</v>
      </c>
      <c r="D702" s="72" t="s">
        <v>7</v>
      </c>
      <c r="E702" s="82"/>
      <c r="F702" s="83">
        <v>1</v>
      </c>
    </row>
    <row r="703" s="50" customFormat="1" spans="1:6">
      <c r="A703" s="76" t="s">
        <v>237</v>
      </c>
      <c r="B703" s="73" t="str">
        <f>TEXT("20051506",REPT(0,8))</f>
        <v>20051506</v>
      </c>
      <c r="C703" s="73" t="s">
        <v>385</v>
      </c>
      <c r="D703" s="72" t="s">
        <v>7</v>
      </c>
      <c r="E703" s="82"/>
      <c r="F703" s="83">
        <v>1</v>
      </c>
    </row>
    <row r="704" s="50" customFormat="1" spans="1:6">
      <c r="A704" s="76" t="s">
        <v>237</v>
      </c>
      <c r="B704" s="73" t="str">
        <f>TEXT("20051507",REPT(0,8))</f>
        <v>20051507</v>
      </c>
      <c r="C704" s="73" t="s">
        <v>385</v>
      </c>
      <c r="D704" s="72" t="s">
        <v>7</v>
      </c>
      <c r="E704" s="82"/>
      <c r="F704" s="83">
        <v>1</v>
      </c>
    </row>
    <row r="705" s="50" customFormat="1" spans="1:6">
      <c r="A705" s="76" t="s">
        <v>237</v>
      </c>
      <c r="B705" s="73" t="str">
        <f>TEXT("20051508",REPT(0,8))</f>
        <v>20051508</v>
      </c>
      <c r="C705" s="73" t="s">
        <v>385</v>
      </c>
      <c r="D705" s="72" t="s">
        <v>7</v>
      </c>
      <c r="E705" s="82"/>
      <c r="F705" s="83">
        <v>1</v>
      </c>
    </row>
    <row r="706" s="50" customFormat="1" spans="1:6">
      <c r="A706" s="76" t="s">
        <v>237</v>
      </c>
      <c r="B706" s="73" t="str">
        <f>TEXT("20051509",REPT(0,8))</f>
        <v>20051509</v>
      </c>
      <c r="C706" s="73" t="s">
        <v>385</v>
      </c>
      <c r="D706" s="72" t="s">
        <v>7</v>
      </c>
      <c r="E706" s="82"/>
      <c r="F706" s="83">
        <v>1</v>
      </c>
    </row>
    <row r="707" s="50" customFormat="1" spans="1:6">
      <c r="A707" s="76" t="s">
        <v>237</v>
      </c>
      <c r="B707" s="73" t="str">
        <f>TEXT("20051510",REPT(0,8))</f>
        <v>20051510</v>
      </c>
      <c r="C707" s="73" t="s">
        <v>385</v>
      </c>
      <c r="D707" s="72" t="s">
        <v>7</v>
      </c>
      <c r="E707" s="82"/>
      <c r="F707" s="83">
        <v>1</v>
      </c>
    </row>
    <row r="708" s="50" customFormat="1" spans="1:6">
      <c r="A708" s="76" t="s">
        <v>237</v>
      </c>
      <c r="B708" s="73" t="str">
        <f>TEXT("20051511",REPT(0,8))</f>
        <v>20051511</v>
      </c>
      <c r="C708" s="73" t="s">
        <v>385</v>
      </c>
      <c r="D708" s="72" t="s">
        <v>7</v>
      </c>
      <c r="E708" s="82"/>
      <c r="F708" s="83">
        <v>1</v>
      </c>
    </row>
    <row r="709" s="50" customFormat="1" spans="1:6">
      <c r="A709" s="76" t="s">
        <v>237</v>
      </c>
      <c r="B709" s="73" t="str">
        <f>TEXT("20051512",REPT(0,8))</f>
        <v>20051512</v>
      </c>
      <c r="C709" s="73" t="s">
        <v>385</v>
      </c>
      <c r="D709" s="72" t="s">
        <v>7</v>
      </c>
      <c r="E709" s="82"/>
      <c r="F709" s="83">
        <v>1</v>
      </c>
    </row>
    <row r="710" s="50" customFormat="1" spans="1:6">
      <c r="A710" s="76" t="s">
        <v>237</v>
      </c>
      <c r="B710" s="73" t="str">
        <f>TEXT("20051513",REPT(0,8))</f>
        <v>20051513</v>
      </c>
      <c r="C710" s="73" t="s">
        <v>385</v>
      </c>
      <c r="D710" s="72" t="s">
        <v>7</v>
      </c>
      <c r="E710" s="82"/>
      <c r="F710" s="83">
        <v>1</v>
      </c>
    </row>
    <row r="711" s="50" customFormat="1" spans="1:6">
      <c r="A711" s="76" t="s">
        <v>237</v>
      </c>
      <c r="B711" s="73" t="str">
        <f>TEXT("20051514",REPT(0,8))</f>
        <v>20051514</v>
      </c>
      <c r="C711" s="73" t="s">
        <v>385</v>
      </c>
      <c r="D711" s="72" t="s">
        <v>7</v>
      </c>
      <c r="E711" s="82"/>
      <c r="F711" s="83">
        <v>1</v>
      </c>
    </row>
    <row r="712" s="50" customFormat="1" spans="1:6">
      <c r="A712" s="76" t="s">
        <v>237</v>
      </c>
      <c r="B712" s="73" t="str">
        <f>TEXT("20051515",REPT(0,8))</f>
        <v>20051515</v>
      </c>
      <c r="C712" s="73" t="s">
        <v>385</v>
      </c>
      <c r="D712" s="72" t="s">
        <v>7</v>
      </c>
      <c r="E712" s="82"/>
      <c r="F712" s="83">
        <v>1</v>
      </c>
    </row>
    <row r="713" s="50" customFormat="1" spans="1:6">
      <c r="A713" s="76" t="s">
        <v>237</v>
      </c>
      <c r="B713" s="73" t="str">
        <f>TEXT("20051516",REPT(0,8))</f>
        <v>20051516</v>
      </c>
      <c r="C713" s="73" t="s">
        <v>385</v>
      </c>
      <c r="D713" s="72" t="s">
        <v>7</v>
      </c>
      <c r="E713" s="82"/>
      <c r="F713" s="83">
        <v>1</v>
      </c>
    </row>
    <row r="714" s="50" customFormat="1" spans="1:6">
      <c r="A714" s="76" t="s">
        <v>237</v>
      </c>
      <c r="B714" s="73" t="str">
        <f>TEXT("20051517",REPT(0,8))</f>
        <v>20051517</v>
      </c>
      <c r="C714" s="73" t="s">
        <v>385</v>
      </c>
      <c r="D714" s="72" t="s">
        <v>7</v>
      </c>
      <c r="E714" s="82">
        <v>15312</v>
      </c>
      <c r="F714" s="83">
        <v>1</v>
      </c>
    </row>
    <row r="715" spans="1:6">
      <c r="A715" s="76" t="s">
        <v>237</v>
      </c>
      <c r="B715" s="83" t="str">
        <f>TEXT("20210167",REPT(0,8))</f>
        <v>20210167</v>
      </c>
      <c r="C715" s="83" t="s">
        <v>121</v>
      </c>
      <c r="D715" s="83" t="s">
        <v>7</v>
      </c>
      <c r="F715" s="83">
        <v>1</v>
      </c>
    </row>
    <row r="716" spans="1:6">
      <c r="A716" s="76" t="s">
        <v>237</v>
      </c>
      <c r="B716" s="83" t="str">
        <f>TEXT("20210168",REPT(0,8))</f>
        <v>20210168</v>
      </c>
      <c r="C716" s="83" t="s">
        <v>121</v>
      </c>
      <c r="D716" s="83" t="s">
        <v>7</v>
      </c>
      <c r="F716" s="83">
        <v>1</v>
      </c>
    </row>
    <row r="717" spans="1:6">
      <c r="A717" s="76" t="s">
        <v>237</v>
      </c>
      <c r="B717" s="83" t="str">
        <f>TEXT("20210169",REPT(0,8))</f>
        <v>20210169</v>
      </c>
      <c r="C717" s="83" t="s">
        <v>121</v>
      </c>
      <c r="D717" s="83" t="s">
        <v>7</v>
      </c>
      <c r="F717" s="83">
        <v>1</v>
      </c>
    </row>
    <row r="718" spans="1:6">
      <c r="A718" s="76" t="s">
        <v>237</v>
      </c>
      <c r="B718" s="83" t="str">
        <f>TEXT("20210170",REPT(0,8))</f>
        <v>20210170</v>
      </c>
      <c r="C718" s="83" t="s">
        <v>121</v>
      </c>
      <c r="D718" s="83" t="s">
        <v>7</v>
      </c>
      <c r="F718" s="83">
        <v>1</v>
      </c>
    </row>
    <row r="719" spans="1:6">
      <c r="A719" s="76" t="s">
        <v>237</v>
      </c>
      <c r="B719" s="83" t="str">
        <f>TEXT("20210171",REPT(0,8))</f>
        <v>20210171</v>
      </c>
      <c r="C719" s="83" t="s">
        <v>121</v>
      </c>
      <c r="D719" s="83" t="s">
        <v>7</v>
      </c>
      <c r="F719" s="83">
        <v>1</v>
      </c>
    </row>
    <row r="720" spans="1:6">
      <c r="A720" s="76" t="s">
        <v>237</v>
      </c>
      <c r="B720" s="83" t="str">
        <f>TEXT("20210172",REPT(0,8))</f>
        <v>20210172</v>
      </c>
      <c r="C720" s="83" t="s">
        <v>121</v>
      </c>
      <c r="D720" s="83" t="s">
        <v>7</v>
      </c>
      <c r="F720" s="83">
        <v>1</v>
      </c>
    </row>
    <row r="721" spans="1:6">
      <c r="A721" s="76" t="s">
        <v>237</v>
      </c>
      <c r="B721" s="83" t="str">
        <f>TEXT("20210173",REPT(0,8))</f>
        <v>20210173</v>
      </c>
      <c r="C721" s="83" t="s">
        <v>121</v>
      </c>
      <c r="D721" s="83" t="s">
        <v>7</v>
      </c>
      <c r="F721" s="83">
        <v>1</v>
      </c>
    </row>
    <row r="722" spans="1:6">
      <c r="A722" s="76" t="s">
        <v>237</v>
      </c>
      <c r="B722" s="83" t="str">
        <f>TEXT("20210174",REPT(0,8))</f>
        <v>20210174</v>
      </c>
      <c r="C722" s="83" t="s">
        <v>121</v>
      </c>
      <c r="D722" s="83" t="s">
        <v>7</v>
      </c>
      <c r="F722" s="83">
        <v>1</v>
      </c>
    </row>
    <row r="723" spans="1:6">
      <c r="A723" s="76" t="s">
        <v>237</v>
      </c>
      <c r="B723" s="83" t="str">
        <f>TEXT("20220183",REPT(0,8))</f>
        <v>20220183</v>
      </c>
      <c r="C723" s="83" t="s">
        <v>35</v>
      </c>
      <c r="D723" s="83" t="s">
        <v>7</v>
      </c>
      <c r="F723" s="83">
        <v>1</v>
      </c>
    </row>
    <row r="724" spans="1:6">
      <c r="A724" s="76" t="s">
        <v>237</v>
      </c>
      <c r="B724" s="83" t="str">
        <f>TEXT("20051464",REPT(0,8))</f>
        <v>20051464</v>
      </c>
      <c r="C724" s="83" t="s">
        <v>386</v>
      </c>
      <c r="D724" s="83" t="s">
        <v>7</v>
      </c>
      <c r="F724" s="83">
        <v>1</v>
      </c>
    </row>
    <row r="725" spans="1:6">
      <c r="A725" s="76" t="s">
        <v>237</v>
      </c>
      <c r="B725" s="83" t="str">
        <f>TEXT("20051465",REPT(0,8))</f>
        <v>20051465</v>
      </c>
      <c r="C725" s="83" t="s">
        <v>386</v>
      </c>
      <c r="D725" s="83" t="s">
        <v>7</v>
      </c>
      <c r="F725" s="83">
        <v>1</v>
      </c>
    </row>
    <row r="726" spans="1:6">
      <c r="A726" s="76" t="s">
        <v>237</v>
      </c>
      <c r="B726" s="83" t="str">
        <f>TEXT("20051466",REPT(0,8))</f>
        <v>20051466</v>
      </c>
      <c r="C726" s="83" t="s">
        <v>387</v>
      </c>
      <c r="D726" s="83" t="s">
        <v>7</v>
      </c>
      <c r="F726" s="83">
        <v>1</v>
      </c>
    </row>
    <row r="727" spans="1:6">
      <c r="A727" s="76" t="s">
        <v>237</v>
      </c>
      <c r="B727" s="83" t="str">
        <f>TEXT("20051467",REPT(0,8))</f>
        <v>20051467</v>
      </c>
      <c r="C727" s="83" t="s">
        <v>387</v>
      </c>
      <c r="D727" s="83" t="s">
        <v>7</v>
      </c>
      <c r="F727" s="83">
        <v>1</v>
      </c>
    </row>
    <row r="728" spans="1:6">
      <c r="A728" s="76" t="s">
        <v>237</v>
      </c>
      <c r="B728" s="83" t="str">
        <f>TEXT("20051468",REPT(0,8))</f>
        <v>20051468</v>
      </c>
      <c r="C728" s="83" t="s">
        <v>388</v>
      </c>
      <c r="D728" s="83" t="s">
        <v>7</v>
      </c>
      <c r="F728" s="83">
        <v>1</v>
      </c>
    </row>
    <row r="729" spans="1:6">
      <c r="A729" s="76" t="s">
        <v>237</v>
      </c>
      <c r="B729" s="83" t="str">
        <f>TEXT("20051469",REPT(0,8))</f>
        <v>20051469</v>
      </c>
      <c r="C729" s="83" t="s">
        <v>388</v>
      </c>
      <c r="D729" s="83" t="s">
        <v>7</v>
      </c>
      <c r="F729" s="83">
        <v>1</v>
      </c>
    </row>
    <row r="730" spans="1:6">
      <c r="A730" s="76" t="s">
        <v>237</v>
      </c>
      <c r="B730" s="83" t="str">
        <f>TEXT("20150238",REPT(0,8))</f>
        <v>20150238</v>
      </c>
      <c r="C730" s="83" t="s">
        <v>389</v>
      </c>
      <c r="D730" s="83" t="s">
        <v>7</v>
      </c>
      <c r="F730" s="83">
        <v>1</v>
      </c>
    </row>
    <row r="731" spans="1:6">
      <c r="A731" s="76" t="s">
        <v>237</v>
      </c>
      <c r="B731" s="83" t="str">
        <f>TEXT("20150239",REPT(0,8))</f>
        <v>20150239</v>
      </c>
      <c r="C731" s="83" t="s">
        <v>389</v>
      </c>
      <c r="D731" s="83" t="s">
        <v>7</v>
      </c>
      <c r="F731" s="83">
        <v>1</v>
      </c>
    </row>
    <row r="732" spans="1:6">
      <c r="A732" s="76" t="s">
        <v>237</v>
      </c>
      <c r="B732" s="83" t="str">
        <f>TEXT("20150240",REPT(0,8))</f>
        <v>20150240</v>
      </c>
      <c r="C732" s="83" t="s">
        <v>389</v>
      </c>
      <c r="D732" s="83" t="s">
        <v>7</v>
      </c>
      <c r="F732" s="83">
        <v>1</v>
      </c>
    </row>
    <row r="733" spans="1:6">
      <c r="A733" s="76" t="s">
        <v>237</v>
      </c>
      <c r="B733" s="83" t="str">
        <f>TEXT("20150241",REPT(0,8))</f>
        <v>20150241</v>
      </c>
      <c r="C733" s="83" t="s">
        <v>389</v>
      </c>
      <c r="D733" s="83" t="s">
        <v>7</v>
      </c>
      <c r="F733" s="83">
        <v>1</v>
      </c>
    </row>
    <row r="734" spans="1:6">
      <c r="A734" s="76" t="s">
        <v>237</v>
      </c>
      <c r="B734" s="83" t="str">
        <f>TEXT("20150242",REPT(0,8))</f>
        <v>20150242</v>
      </c>
      <c r="C734" s="83" t="s">
        <v>390</v>
      </c>
      <c r="D734" s="83" t="s">
        <v>7</v>
      </c>
      <c r="F734" s="83">
        <v>1</v>
      </c>
    </row>
    <row r="735" spans="1:6">
      <c r="A735" s="76" t="s">
        <v>237</v>
      </c>
      <c r="B735" s="83" t="str">
        <f>TEXT("20150243",REPT(0,8))</f>
        <v>20150243</v>
      </c>
      <c r="C735" s="83" t="s">
        <v>390</v>
      </c>
      <c r="D735" s="83" t="s">
        <v>7</v>
      </c>
      <c r="F735" s="83">
        <v>1</v>
      </c>
    </row>
    <row r="736" spans="1:6">
      <c r="A736" s="76" t="s">
        <v>237</v>
      </c>
      <c r="B736" s="83" t="str">
        <f>TEXT("20150244",REPT(0,8))</f>
        <v>20150244</v>
      </c>
      <c r="C736" s="83" t="s">
        <v>390</v>
      </c>
      <c r="D736" s="83" t="s">
        <v>7</v>
      </c>
      <c r="F736" s="83">
        <v>1</v>
      </c>
    </row>
    <row r="737" spans="1:6">
      <c r="A737" s="76" t="s">
        <v>237</v>
      </c>
      <c r="B737" s="83" t="str">
        <f>TEXT("20150245",REPT(0,8))</f>
        <v>20150245</v>
      </c>
      <c r="C737" s="83" t="s">
        <v>391</v>
      </c>
      <c r="D737" s="83" t="s">
        <v>7</v>
      </c>
      <c r="F737" s="83">
        <v>1</v>
      </c>
    </row>
    <row r="738" spans="1:6">
      <c r="A738" s="76" t="s">
        <v>237</v>
      </c>
      <c r="B738" s="83" t="str">
        <f>TEXT("20150246",REPT(0,8))</f>
        <v>20150246</v>
      </c>
      <c r="C738" s="83" t="s">
        <v>391</v>
      </c>
      <c r="D738" s="83" t="s">
        <v>7</v>
      </c>
      <c r="F738" s="83">
        <v>1</v>
      </c>
    </row>
    <row r="739" spans="1:6">
      <c r="A739" s="76" t="s">
        <v>237</v>
      </c>
      <c r="B739" s="83" t="str">
        <f>TEXT("20150247",REPT(0,8))</f>
        <v>20150247</v>
      </c>
      <c r="C739" s="83" t="s">
        <v>391</v>
      </c>
      <c r="D739" s="83" t="s">
        <v>7</v>
      </c>
      <c r="F739" s="83">
        <v>1</v>
      </c>
    </row>
    <row r="740" spans="1:6">
      <c r="A740" s="76" t="s">
        <v>237</v>
      </c>
      <c r="B740" s="83" t="str">
        <f>TEXT("20140341",REPT(0,8))</f>
        <v>20140341</v>
      </c>
      <c r="C740" s="83" t="s">
        <v>310</v>
      </c>
      <c r="D740" s="83" t="s">
        <v>7</v>
      </c>
      <c r="F740" s="83">
        <v>1</v>
      </c>
    </row>
    <row r="741" spans="1:6">
      <c r="A741" s="76" t="s">
        <v>237</v>
      </c>
      <c r="B741" s="83" t="str">
        <f>TEXT("20140342",REPT(0,8))</f>
        <v>20140342</v>
      </c>
      <c r="C741" s="83" t="s">
        <v>310</v>
      </c>
      <c r="D741" s="83" t="s">
        <v>7</v>
      </c>
      <c r="F741" s="83">
        <v>1</v>
      </c>
    </row>
    <row r="742" spans="1:6">
      <c r="A742" s="76" t="s">
        <v>237</v>
      </c>
      <c r="B742" s="83" t="str">
        <f>TEXT("20140343",REPT(0,8))</f>
        <v>20140343</v>
      </c>
      <c r="C742" s="83" t="s">
        <v>310</v>
      </c>
      <c r="D742" s="83" t="s">
        <v>7</v>
      </c>
      <c r="F742" s="83">
        <v>1</v>
      </c>
    </row>
    <row r="743" spans="1:6">
      <c r="A743" s="76" t="s">
        <v>237</v>
      </c>
      <c r="B743" s="83" t="str">
        <f>TEXT("20140344",REPT(0,8))</f>
        <v>20140344</v>
      </c>
      <c r="C743" s="83" t="s">
        <v>310</v>
      </c>
      <c r="D743" s="83" t="s">
        <v>7</v>
      </c>
      <c r="F743" s="83">
        <v>1</v>
      </c>
    </row>
    <row r="744" spans="1:6">
      <c r="A744" s="76" t="s">
        <v>237</v>
      </c>
      <c r="B744" s="83" t="str">
        <f>TEXT("20140345",REPT(0,8))</f>
        <v>20140345</v>
      </c>
      <c r="C744" s="83" t="s">
        <v>310</v>
      </c>
      <c r="D744" s="83" t="s">
        <v>7</v>
      </c>
      <c r="F744" s="83">
        <v>1</v>
      </c>
    </row>
    <row r="745" spans="1:6">
      <c r="A745" s="76" t="s">
        <v>237</v>
      </c>
      <c r="B745" s="83" t="str">
        <f>TEXT("20140351",REPT(0,8))</f>
        <v>20140351</v>
      </c>
      <c r="C745" s="83" t="s">
        <v>392</v>
      </c>
      <c r="D745" s="83" t="s">
        <v>7</v>
      </c>
      <c r="F745" s="83">
        <v>1</v>
      </c>
    </row>
    <row r="746" spans="1:6">
      <c r="A746" s="76" t="s">
        <v>237</v>
      </c>
      <c r="B746" s="83" t="str">
        <f>TEXT("20140352",REPT(0,8))</f>
        <v>20140352</v>
      </c>
      <c r="C746" s="83" t="s">
        <v>392</v>
      </c>
      <c r="D746" s="83" t="s">
        <v>7</v>
      </c>
      <c r="F746" s="83">
        <v>1</v>
      </c>
    </row>
    <row r="747" spans="1:6">
      <c r="A747" s="76" t="s">
        <v>237</v>
      </c>
      <c r="B747" s="83" t="str">
        <f>TEXT("20140353",REPT(0,8))</f>
        <v>20140353</v>
      </c>
      <c r="C747" s="83" t="s">
        <v>392</v>
      </c>
      <c r="D747" s="83" t="s">
        <v>7</v>
      </c>
      <c r="F747" s="83">
        <v>1</v>
      </c>
    </row>
    <row r="748" spans="1:6">
      <c r="A748" s="76" t="s">
        <v>237</v>
      </c>
      <c r="B748" s="83" t="str">
        <f>TEXT("20140354",REPT(0,8))</f>
        <v>20140354</v>
      </c>
      <c r="C748" s="83" t="s">
        <v>392</v>
      </c>
      <c r="D748" s="83" t="s">
        <v>7</v>
      </c>
      <c r="F748" s="83">
        <v>1</v>
      </c>
    </row>
    <row r="749" spans="1:6">
      <c r="A749" s="76" t="s">
        <v>237</v>
      </c>
      <c r="B749" s="83" t="str">
        <f>TEXT("20140346",REPT(0,8))</f>
        <v>20140346</v>
      </c>
      <c r="C749" s="83" t="s">
        <v>393</v>
      </c>
      <c r="D749" s="83" t="s">
        <v>7</v>
      </c>
      <c r="F749" s="83">
        <v>1</v>
      </c>
    </row>
    <row r="750" spans="1:6">
      <c r="A750" s="76" t="s">
        <v>237</v>
      </c>
      <c r="B750" s="83" t="str">
        <f>TEXT("20240229",REPT(0,8))</f>
        <v>20240229</v>
      </c>
      <c r="C750" s="83" t="s">
        <v>394</v>
      </c>
      <c r="D750" s="83" t="s">
        <v>7</v>
      </c>
      <c r="F750" s="83">
        <v>1</v>
      </c>
    </row>
    <row r="751" spans="1:6">
      <c r="A751" s="76" t="s">
        <v>237</v>
      </c>
      <c r="B751" s="83" t="str">
        <f>TEXT("20240230",REPT(0,8))</f>
        <v>20240230</v>
      </c>
      <c r="C751" s="83" t="s">
        <v>394</v>
      </c>
      <c r="D751" s="83" t="s">
        <v>7</v>
      </c>
      <c r="F751" s="83">
        <v>1</v>
      </c>
    </row>
    <row r="752" spans="1:6">
      <c r="A752" s="76" t="s">
        <v>237</v>
      </c>
      <c r="B752" s="83" t="str">
        <f>TEXT("20140347",REPT(0,8))</f>
        <v>20140347</v>
      </c>
      <c r="C752" s="83" t="s">
        <v>393</v>
      </c>
      <c r="D752" s="83" t="s">
        <v>7</v>
      </c>
      <c r="F752" s="83">
        <v>1</v>
      </c>
    </row>
    <row r="753" spans="1:6">
      <c r="A753" s="76" t="s">
        <v>237</v>
      </c>
      <c r="B753" s="83" t="str">
        <f>TEXT("20140348",REPT(0,8))</f>
        <v>20140348</v>
      </c>
      <c r="C753" s="83" t="s">
        <v>393</v>
      </c>
      <c r="D753" s="83" t="s">
        <v>7</v>
      </c>
      <c r="F753" s="83">
        <v>1</v>
      </c>
    </row>
    <row r="754" spans="1:6">
      <c r="A754" s="76" t="s">
        <v>237</v>
      </c>
      <c r="B754" s="83" t="str">
        <f>TEXT("20140349",REPT(0,8))</f>
        <v>20140349</v>
      </c>
      <c r="C754" s="83" t="s">
        <v>393</v>
      </c>
      <c r="D754" s="83" t="s">
        <v>7</v>
      </c>
      <c r="F754" s="83">
        <v>1</v>
      </c>
    </row>
    <row r="755" spans="1:6">
      <c r="A755" s="76" t="s">
        <v>237</v>
      </c>
      <c r="B755" s="83" t="str">
        <f>TEXT("20140350",REPT(0,8))</f>
        <v>20140350</v>
      </c>
      <c r="C755" s="83" t="s">
        <v>393</v>
      </c>
      <c r="D755" s="83" t="s">
        <v>7</v>
      </c>
      <c r="F755" s="83">
        <v>1</v>
      </c>
    </row>
    <row r="756" spans="1:6">
      <c r="A756" s="76" t="s">
        <v>237</v>
      </c>
      <c r="B756" s="83" t="str">
        <f>TEXT("20110308",REPT(0,8))</f>
        <v>20110308</v>
      </c>
      <c r="C756" s="83" t="s">
        <v>96</v>
      </c>
      <c r="D756" s="83" t="s">
        <v>7</v>
      </c>
      <c r="F756" s="83">
        <v>1</v>
      </c>
    </row>
    <row r="757" spans="1:6">
      <c r="A757" s="76" t="s">
        <v>237</v>
      </c>
      <c r="B757" s="83" t="str">
        <f>TEXT("20110326",REPT(0,8))</f>
        <v>20110326</v>
      </c>
      <c r="C757" s="83" t="s">
        <v>96</v>
      </c>
      <c r="D757" s="83" t="s">
        <v>7</v>
      </c>
      <c r="F757" s="83">
        <v>1</v>
      </c>
    </row>
    <row r="758" s="76" customFormat="1" spans="1:2565">
      <c r="A758" s="76" t="s">
        <v>237</v>
      </c>
      <c r="B758" s="83" t="str">
        <f>TEXT("20120777",REPT(0,8))</f>
        <v>20120777</v>
      </c>
      <c r="C758" s="83" t="s">
        <v>49</v>
      </c>
      <c r="D758" s="83" t="s">
        <v>7</v>
      </c>
      <c r="E758" s="82"/>
      <c r="F758" s="83">
        <v>1</v>
      </c>
      <c r="JA758" s="50"/>
      <c r="SW758" s="50"/>
      <c r="ACS758" s="50"/>
      <c r="AMO758" s="50"/>
      <c r="AWK758" s="50"/>
      <c r="BGG758" s="50"/>
      <c r="BQC758" s="50"/>
      <c r="BZY758" s="50"/>
      <c r="CJU758" s="50"/>
      <c r="CTQ758" s="50"/>
    </row>
    <row r="759" spans="1:6">
      <c r="A759" s="76" t="s">
        <v>237</v>
      </c>
      <c r="B759" s="83" t="str">
        <f>TEXT("20040879",REPT(0,8))</f>
        <v>20040879</v>
      </c>
      <c r="C759" s="83" t="s">
        <v>395</v>
      </c>
      <c r="D759" s="83" t="s">
        <v>7</v>
      </c>
      <c r="F759" s="83">
        <v>1</v>
      </c>
    </row>
    <row r="760" spans="1:6">
      <c r="A760" s="76" t="s">
        <v>237</v>
      </c>
      <c r="B760" s="83" t="str">
        <f>TEXT("20040880",REPT(0,8))</f>
        <v>20040880</v>
      </c>
      <c r="C760" s="83" t="s">
        <v>395</v>
      </c>
      <c r="D760" s="83" t="s">
        <v>7</v>
      </c>
      <c r="F760" s="83">
        <v>1</v>
      </c>
    </row>
    <row r="761" spans="1:6">
      <c r="A761" s="76" t="s">
        <v>237</v>
      </c>
      <c r="B761" s="83" t="str">
        <f>TEXT("20051454",REPT(0,8))</f>
        <v>20051454</v>
      </c>
      <c r="C761" s="83" t="s">
        <v>396</v>
      </c>
      <c r="D761" s="83" t="s">
        <v>7</v>
      </c>
      <c r="F761" s="83">
        <v>1</v>
      </c>
    </row>
    <row r="762" spans="1:6">
      <c r="A762" s="76" t="s">
        <v>237</v>
      </c>
      <c r="B762" s="83" t="str">
        <f>TEXT("20051455",REPT(0,8))</f>
        <v>20051455</v>
      </c>
      <c r="C762" s="83" t="s">
        <v>396</v>
      </c>
      <c r="D762" s="83" t="s">
        <v>7</v>
      </c>
      <c r="F762" s="83">
        <v>1</v>
      </c>
    </row>
    <row r="763" spans="1:6">
      <c r="A763" s="76" t="s">
        <v>237</v>
      </c>
      <c r="B763" s="83" t="str">
        <f>TEXT("20051456",REPT(0,8))</f>
        <v>20051456</v>
      </c>
      <c r="C763" s="83" t="s">
        <v>396</v>
      </c>
      <c r="D763" s="83" t="s">
        <v>7</v>
      </c>
      <c r="F763" s="83">
        <v>1</v>
      </c>
    </row>
    <row r="764" spans="1:6">
      <c r="A764" s="76" t="s">
        <v>237</v>
      </c>
      <c r="B764" s="83" t="str">
        <f>TEXT("20051457",REPT(0,8))</f>
        <v>20051457</v>
      </c>
      <c r="C764" s="83" t="s">
        <v>396</v>
      </c>
      <c r="D764" s="83" t="s">
        <v>7</v>
      </c>
      <c r="F764" s="83">
        <v>1</v>
      </c>
    </row>
    <row r="765" spans="1:6">
      <c r="A765" s="76" t="s">
        <v>237</v>
      </c>
      <c r="B765" s="83" t="str">
        <f>TEXT("20051458",REPT(0,8))</f>
        <v>20051458</v>
      </c>
      <c r="C765" s="83" t="s">
        <v>396</v>
      </c>
      <c r="D765" s="83" t="s">
        <v>7</v>
      </c>
      <c r="F765" s="83">
        <v>1</v>
      </c>
    </row>
    <row r="766" spans="1:6">
      <c r="A766" s="76" t="s">
        <v>237</v>
      </c>
      <c r="B766" s="83" t="str">
        <f>TEXT("20051459",REPT(0,8))</f>
        <v>20051459</v>
      </c>
      <c r="C766" s="83" t="s">
        <v>396</v>
      </c>
      <c r="D766" s="83" t="s">
        <v>7</v>
      </c>
      <c r="F766" s="83">
        <v>1</v>
      </c>
    </row>
    <row r="767" spans="1:6">
      <c r="A767" s="76" t="s">
        <v>237</v>
      </c>
      <c r="B767" s="83" t="str">
        <f>TEXT("20051460",REPT(0,8))</f>
        <v>20051460</v>
      </c>
      <c r="C767" s="83" t="s">
        <v>396</v>
      </c>
      <c r="D767" s="83" t="s">
        <v>7</v>
      </c>
      <c r="F767" s="83">
        <v>1</v>
      </c>
    </row>
    <row r="768" spans="1:6">
      <c r="A768" s="76" t="s">
        <v>237</v>
      </c>
      <c r="B768" s="83" t="str">
        <f>TEXT("20051461",REPT(0,8))</f>
        <v>20051461</v>
      </c>
      <c r="C768" s="83" t="s">
        <v>396</v>
      </c>
      <c r="D768" s="83" t="s">
        <v>7</v>
      </c>
      <c r="F768" s="83">
        <v>1</v>
      </c>
    </row>
    <row r="769" spans="1:6">
      <c r="A769" s="76" t="s">
        <v>237</v>
      </c>
      <c r="B769" s="83" t="str">
        <f>TEXT("20051462",REPT(0,8))</f>
        <v>20051462</v>
      </c>
      <c r="C769" s="83" t="s">
        <v>396</v>
      </c>
      <c r="D769" s="83" t="s">
        <v>7</v>
      </c>
      <c r="F769" s="83">
        <v>1</v>
      </c>
    </row>
    <row r="770" spans="1:6">
      <c r="A770" s="76" t="s">
        <v>237</v>
      </c>
      <c r="B770" s="83" t="str">
        <f>TEXT("20051463",REPT(0,8))</f>
        <v>20051463</v>
      </c>
      <c r="C770" s="83" t="s">
        <v>396</v>
      </c>
      <c r="D770" s="83" t="s">
        <v>7</v>
      </c>
      <c r="F770" s="83">
        <v>1</v>
      </c>
    </row>
    <row r="771" spans="1:6">
      <c r="A771" s="76" t="s">
        <v>237</v>
      </c>
      <c r="B771" s="83" t="str">
        <f>TEXT("20150214",REPT(0,8))</f>
        <v>20150214</v>
      </c>
      <c r="C771" s="83" t="s">
        <v>397</v>
      </c>
      <c r="D771" s="83" t="s">
        <v>7</v>
      </c>
      <c r="F771" s="83">
        <v>1</v>
      </c>
    </row>
    <row r="772" spans="1:6">
      <c r="A772" s="76" t="s">
        <v>237</v>
      </c>
      <c r="B772" s="83" t="str">
        <f>TEXT("20150215",REPT(0,8))</f>
        <v>20150215</v>
      </c>
      <c r="C772" s="83" t="s">
        <v>397</v>
      </c>
      <c r="D772" s="83" t="s">
        <v>7</v>
      </c>
      <c r="F772" s="83">
        <v>1</v>
      </c>
    </row>
    <row r="773" spans="1:6">
      <c r="A773" s="76" t="s">
        <v>237</v>
      </c>
      <c r="B773" s="83" t="str">
        <f>TEXT("20150216",REPT(0,8))</f>
        <v>20150216</v>
      </c>
      <c r="C773" s="83" t="s">
        <v>397</v>
      </c>
      <c r="D773" s="83" t="s">
        <v>7</v>
      </c>
      <c r="F773" s="83">
        <v>1</v>
      </c>
    </row>
    <row r="774" spans="1:6">
      <c r="A774" s="76" t="s">
        <v>237</v>
      </c>
      <c r="B774" s="83" t="str">
        <f>TEXT("20150217",REPT(0,8))</f>
        <v>20150217</v>
      </c>
      <c r="C774" s="83" t="s">
        <v>397</v>
      </c>
      <c r="D774" s="83" t="s">
        <v>7</v>
      </c>
      <c r="F774" s="83">
        <v>1</v>
      </c>
    </row>
    <row r="775" spans="1:6">
      <c r="A775" s="76" t="s">
        <v>237</v>
      </c>
      <c r="B775" s="83" t="str">
        <f>TEXT("20150218",REPT(0,8))</f>
        <v>20150218</v>
      </c>
      <c r="C775" s="83" t="s">
        <v>397</v>
      </c>
      <c r="D775" s="83" t="s">
        <v>7</v>
      </c>
      <c r="F775" s="83">
        <v>1</v>
      </c>
    </row>
    <row r="776" spans="1:6">
      <c r="A776" s="76" t="s">
        <v>237</v>
      </c>
      <c r="B776" s="83" t="str">
        <f>TEXT("20150219",REPT(0,8))</f>
        <v>20150219</v>
      </c>
      <c r="C776" s="83" t="s">
        <v>397</v>
      </c>
      <c r="D776" s="83" t="s">
        <v>7</v>
      </c>
      <c r="F776" s="83">
        <v>1</v>
      </c>
    </row>
    <row r="777" spans="1:6">
      <c r="A777" s="76" t="s">
        <v>237</v>
      </c>
      <c r="B777" s="83" t="str">
        <f>TEXT("20150220",REPT(0,8))</f>
        <v>20150220</v>
      </c>
      <c r="C777" s="83" t="s">
        <v>397</v>
      </c>
      <c r="D777" s="83" t="s">
        <v>7</v>
      </c>
      <c r="F777" s="83">
        <v>1</v>
      </c>
    </row>
    <row r="778" spans="1:6">
      <c r="A778" s="76" t="s">
        <v>237</v>
      </c>
      <c r="B778" s="83" t="str">
        <f>TEXT("20150221",REPT(0,8))</f>
        <v>20150221</v>
      </c>
      <c r="C778" s="83" t="s">
        <v>397</v>
      </c>
      <c r="D778" s="83" t="s">
        <v>7</v>
      </c>
      <c r="F778" s="83">
        <v>1</v>
      </c>
    </row>
    <row r="779" spans="1:6">
      <c r="A779" s="76" t="s">
        <v>237</v>
      </c>
      <c r="B779" s="83" t="str">
        <f>TEXT("20150222",REPT(0,8))</f>
        <v>20150222</v>
      </c>
      <c r="C779" s="83" t="s">
        <v>397</v>
      </c>
      <c r="D779" s="83" t="s">
        <v>7</v>
      </c>
      <c r="F779" s="83">
        <v>1</v>
      </c>
    </row>
    <row r="780" spans="1:6">
      <c r="A780" s="76" t="s">
        <v>237</v>
      </c>
      <c r="B780" s="83" t="str">
        <f>TEXT("20150223",REPT(0,8))</f>
        <v>20150223</v>
      </c>
      <c r="C780" s="83" t="s">
        <v>397</v>
      </c>
      <c r="D780" s="83" t="s">
        <v>7</v>
      </c>
      <c r="F780" s="83">
        <v>1</v>
      </c>
    </row>
    <row r="781" spans="1:6">
      <c r="A781" s="76" t="s">
        <v>237</v>
      </c>
      <c r="B781" s="83" t="str">
        <f>TEXT("20150224",REPT(0,8))</f>
        <v>20150224</v>
      </c>
      <c r="C781" s="83" t="s">
        <v>397</v>
      </c>
      <c r="D781" s="83" t="s">
        <v>7</v>
      </c>
      <c r="F781" s="83">
        <v>1</v>
      </c>
    </row>
    <row r="782" spans="1:6">
      <c r="A782" s="76" t="s">
        <v>237</v>
      </c>
      <c r="B782" s="83" t="str">
        <f>TEXT("20150225",REPT(0,8))</f>
        <v>20150225</v>
      </c>
      <c r="C782" s="83" t="s">
        <v>397</v>
      </c>
      <c r="D782" s="83" t="s">
        <v>7</v>
      </c>
      <c r="F782" s="83">
        <v>1</v>
      </c>
    </row>
    <row r="783" spans="1:6">
      <c r="A783" s="76" t="s">
        <v>237</v>
      </c>
      <c r="B783" s="83" t="str">
        <f>TEXT("20150226",REPT(0,8))</f>
        <v>20150226</v>
      </c>
      <c r="C783" s="83" t="s">
        <v>398</v>
      </c>
      <c r="D783" s="83" t="s">
        <v>7</v>
      </c>
      <c r="F783" s="83">
        <v>1</v>
      </c>
    </row>
    <row r="784" spans="1:6">
      <c r="A784" s="76" t="s">
        <v>237</v>
      </c>
      <c r="B784" s="83" t="str">
        <f>TEXT("20150227",REPT(0,8))</f>
        <v>20150227</v>
      </c>
      <c r="C784" s="83" t="s">
        <v>398</v>
      </c>
      <c r="D784" s="83" t="s">
        <v>7</v>
      </c>
      <c r="F784" s="83">
        <v>1</v>
      </c>
    </row>
    <row r="785" spans="1:6">
      <c r="A785" s="76" t="s">
        <v>237</v>
      </c>
      <c r="B785" s="83" t="str">
        <f>TEXT("20150228",REPT(0,8))</f>
        <v>20150228</v>
      </c>
      <c r="C785" s="83" t="s">
        <v>398</v>
      </c>
      <c r="D785" s="83" t="s">
        <v>7</v>
      </c>
      <c r="F785" s="83">
        <v>1</v>
      </c>
    </row>
    <row r="786" spans="1:6">
      <c r="A786" s="76" t="s">
        <v>237</v>
      </c>
      <c r="B786" s="83" t="str">
        <f>TEXT("20150229",REPT(0,8))</f>
        <v>20150229</v>
      </c>
      <c r="C786" s="83" t="s">
        <v>398</v>
      </c>
      <c r="D786" s="83" t="s">
        <v>7</v>
      </c>
      <c r="F786" s="83">
        <v>1</v>
      </c>
    </row>
    <row r="787" spans="1:6">
      <c r="A787" s="76" t="s">
        <v>237</v>
      </c>
      <c r="B787" s="83" t="str">
        <f>TEXT("20150230",REPT(0,8))</f>
        <v>20150230</v>
      </c>
      <c r="C787" s="83" t="s">
        <v>398</v>
      </c>
      <c r="D787" s="83" t="s">
        <v>7</v>
      </c>
      <c r="F787" s="83">
        <v>1</v>
      </c>
    </row>
    <row r="788" spans="1:6">
      <c r="A788" s="76" t="s">
        <v>237</v>
      </c>
      <c r="B788" s="83" t="str">
        <f>TEXT("20150231",REPT(0,8))</f>
        <v>20150231</v>
      </c>
      <c r="C788" s="83" t="s">
        <v>398</v>
      </c>
      <c r="D788" s="83" t="s">
        <v>7</v>
      </c>
      <c r="F788" s="83">
        <v>1</v>
      </c>
    </row>
    <row r="789" spans="1:6">
      <c r="A789" s="76" t="s">
        <v>237</v>
      </c>
      <c r="B789" s="83" t="str">
        <f>TEXT("20150232",REPT(0,8))</f>
        <v>20150232</v>
      </c>
      <c r="C789" s="83" t="s">
        <v>398</v>
      </c>
      <c r="D789" s="83" t="s">
        <v>7</v>
      </c>
      <c r="F789" s="83">
        <v>1</v>
      </c>
    </row>
    <row r="790" spans="1:6">
      <c r="A790" s="76" t="s">
        <v>237</v>
      </c>
      <c r="B790" s="83" t="str">
        <f>TEXT("20150233",REPT(0,8))</f>
        <v>20150233</v>
      </c>
      <c r="C790" s="83" t="s">
        <v>398</v>
      </c>
      <c r="D790" s="83" t="s">
        <v>7</v>
      </c>
      <c r="F790" s="83">
        <v>1</v>
      </c>
    </row>
    <row r="791" spans="1:6">
      <c r="A791" s="76" t="s">
        <v>237</v>
      </c>
      <c r="B791" s="83" t="str">
        <f>TEXT("20150234",REPT(0,8))</f>
        <v>20150234</v>
      </c>
      <c r="C791" s="83" t="s">
        <v>398</v>
      </c>
      <c r="D791" s="83" t="s">
        <v>7</v>
      </c>
      <c r="F791" s="83">
        <v>1</v>
      </c>
    </row>
    <row r="792" spans="1:6">
      <c r="A792" s="76" t="s">
        <v>237</v>
      </c>
      <c r="B792" s="83" t="str">
        <f>TEXT("20150235",REPT(0,8))</f>
        <v>20150235</v>
      </c>
      <c r="C792" s="83" t="s">
        <v>398</v>
      </c>
      <c r="D792" s="83" t="s">
        <v>7</v>
      </c>
      <c r="F792" s="83">
        <v>1</v>
      </c>
    </row>
    <row r="793" spans="1:6">
      <c r="A793" s="76" t="s">
        <v>237</v>
      </c>
      <c r="B793" s="83" t="str">
        <f>TEXT("20150236",REPT(0,8))</f>
        <v>20150236</v>
      </c>
      <c r="C793" s="83" t="s">
        <v>398</v>
      </c>
      <c r="D793" s="83" t="s">
        <v>7</v>
      </c>
      <c r="F793" s="83">
        <v>1</v>
      </c>
    </row>
    <row r="794" spans="1:6">
      <c r="A794" s="76" t="s">
        <v>237</v>
      </c>
      <c r="B794" s="83" t="str">
        <f>TEXT("20150237",REPT(0,8))</f>
        <v>20150237</v>
      </c>
      <c r="C794" s="83" t="s">
        <v>398</v>
      </c>
      <c r="D794" s="83" t="s">
        <v>7</v>
      </c>
      <c r="F794" s="83">
        <v>1</v>
      </c>
    </row>
    <row r="795" spans="1:6">
      <c r="A795" s="76" t="s">
        <v>237</v>
      </c>
      <c r="B795" s="83" t="str">
        <f>TEXT("20160580",REPT(0,8))</f>
        <v>20160580</v>
      </c>
      <c r="C795" s="83" t="s">
        <v>398</v>
      </c>
      <c r="D795" s="83" t="s">
        <v>7</v>
      </c>
      <c r="F795" s="83">
        <v>1</v>
      </c>
    </row>
    <row r="796" spans="1:6">
      <c r="A796" s="76" t="s">
        <v>237</v>
      </c>
      <c r="B796" s="83" t="str">
        <f>TEXT("20160212",REPT(0,8))</f>
        <v>20160212</v>
      </c>
      <c r="C796" s="83" t="s">
        <v>367</v>
      </c>
      <c r="D796" s="83" t="s">
        <v>7</v>
      </c>
      <c r="F796" s="83">
        <v>1</v>
      </c>
    </row>
    <row r="797" spans="1:6">
      <c r="A797" s="76" t="s">
        <v>237</v>
      </c>
      <c r="B797" s="83" t="str">
        <f>TEXT("20121341",REPT(0,8))</f>
        <v>20121341</v>
      </c>
      <c r="C797" s="83" t="s">
        <v>399</v>
      </c>
      <c r="D797" s="83" t="s">
        <v>7</v>
      </c>
      <c r="F797" s="83">
        <v>1</v>
      </c>
    </row>
    <row r="798" spans="1:6">
      <c r="A798" s="76" t="s">
        <v>237</v>
      </c>
      <c r="B798" s="83" t="str">
        <f>TEXT("20121342",REPT(0,8))</f>
        <v>20121342</v>
      </c>
      <c r="C798" s="83" t="s">
        <v>399</v>
      </c>
      <c r="D798" s="83" t="s">
        <v>7</v>
      </c>
      <c r="F798" s="83">
        <v>1</v>
      </c>
    </row>
    <row r="799" spans="1:6">
      <c r="A799" s="76" t="s">
        <v>237</v>
      </c>
      <c r="B799" s="83" t="str">
        <f>TEXT("20121343",REPT(0,8))</f>
        <v>20121343</v>
      </c>
      <c r="C799" s="83" t="s">
        <v>399</v>
      </c>
      <c r="D799" s="83" t="s">
        <v>7</v>
      </c>
      <c r="F799" s="83">
        <v>1</v>
      </c>
    </row>
    <row r="800" spans="1:6">
      <c r="A800" s="76" t="s">
        <v>237</v>
      </c>
      <c r="B800" s="83" t="str">
        <f>TEXT("20121344",REPT(0,8))</f>
        <v>20121344</v>
      </c>
      <c r="C800" s="83" t="s">
        <v>399</v>
      </c>
      <c r="D800" s="83" t="s">
        <v>7</v>
      </c>
      <c r="F800" s="83">
        <v>1</v>
      </c>
    </row>
    <row r="801" spans="1:6">
      <c r="A801" s="76" t="s">
        <v>237</v>
      </c>
      <c r="B801" s="83" t="str">
        <f>TEXT("20121345",REPT(0,8))</f>
        <v>20121345</v>
      </c>
      <c r="C801" s="83" t="s">
        <v>399</v>
      </c>
      <c r="D801" s="83" t="s">
        <v>7</v>
      </c>
      <c r="F801" s="83">
        <v>1</v>
      </c>
    </row>
    <row r="802" spans="1:6">
      <c r="A802" s="76" t="s">
        <v>237</v>
      </c>
      <c r="B802" s="83" t="str">
        <f>TEXT("20121346",REPT(0,8))</f>
        <v>20121346</v>
      </c>
      <c r="C802" s="83" t="s">
        <v>399</v>
      </c>
      <c r="D802" s="83" t="s">
        <v>7</v>
      </c>
      <c r="F802" s="83">
        <v>1</v>
      </c>
    </row>
    <row r="803" spans="1:6">
      <c r="A803" s="76" t="s">
        <v>237</v>
      </c>
      <c r="B803" s="83" t="str">
        <f>TEXT("20121347",REPT(0,8))</f>
        <v>20121347</v>
      </c>
      <c r="C803" s="83" t="s">
        <v>399</v>
      </c>
      <c r="D803" s="83" t="s">
        <v>7</v>
      </c>
      <c r="F803" s="83">
        <v>1</v>
      </c>
    </row>
    <row r="804" spans="1:6">
      <c r="A804" s="76" t="s">
        <v>237</v>
      </c>
      <c r="B804" s="83" t="str">
        <f>TEXT("20121348",REPT(0,8))</f>
        <v>20121348</v>
      </c>
      <c r="C804" s="83" t="s">
        <v>399</v>
      </c>
      <c r="D804" s="83" t="s">
        <v>7</v>
      </c>
      <c r="F804" s="83">
        <v>1</v>
      </c>
    </row>
    <row r="805" spans="1:6">
      <c r="A805" s="76" t="s">
        <v>237</v>
      </c>
      <c r="B805" s="83" t="str">
        <f>TEXT("20121349",REPT(0,8))</f>
        <v>20121349</v>
      </c>
      <c r="C805" s="83" t="s">
        <v>399</v>
      </c>
      <c r="D805" s="83" t="s">
        <v>7</v>
      </c>
      <c r="F805" s="83">
        <v>1</v>
      </c>
    </row>
    <row r="806" spans="1:6">
      <c r="A806" s="76" t="s">
        <v>237</v>
      </c>
      <c r="B806" s="83" t="str">
        <f>TEXT("20121350",REPT(0,8))</f>
        <v>20121350</v>
      </c>
      <c r="C806" s="83" t="s">
        <v>399</v>
      </c>
      <c r="D806" s="83" t="s">
        <v>7</v>
      </c>
      <c r="F806" s="83">
        <v>1</v>
      </c>
    </row>
    <row r="807" spans="1:6">
      <c r="A807" s="76" t="s">
        <v>237</v>
      </c>
      <c r="B807" s="83" t="str">
        <f>TEXT("20121351",REPT(0,8))</f>
        <v>20121351</v>
      </c>
      <c r="C807" s="83" t="s">
        <v>400</v>
      </c>
      <c r="D807" s="83" t="s">
        <v>7</v>
      </c>
      <c r="F807" s="83">
        <v>1</v>
      </c>
    </row>
    <row r="808" spans="1:6">
      <c r="A808" s="76" t="s">
        <v>237</v>
      </c>
      <c r="B808" s="83" t="str">
        <f>TEXT("20121352",REPT(0,8))</f>
        <v>20121352</v>
      </c>
      <c r="C808" s="83" t="s">
        <v>400</v>
      </c>
      <c r="D808" s="83" t="s">
        <v>7</v>
      </c>
      <c r="F808" s="83">
        <v>1</v>
      </c>
    </row>
    <row r="809" spans="1:6">
      <c r="A809" s="76" t="s">
        <v>237</v>
      </c>
      <c r="B809" s="83" t="str">
        <f>TEXT("20121353",REPT(0,8))</f>
        <v>20121353</v>
      </c>
      <c r="C809" s="83" t="s">
        <v>400</v>
      </c>
      <c r="D809" s="83" t="s">
        <v>7</v>
      </c>
      <c r="F809" s="83">
        <v>1</v>
      </c>
    </row>
    <row r="810" spans="1:6">
      <c r="A810" s="76" t="s">
        <v>237</v>
      </c>
      <c r="B810" s="83" t="str">
        <f>TEXT("20121354",REPT(0,8))</f>
        <v>20121354</v>
      </c>
      <c r="C810" s="83" t="s">
        <v>400</v>
      </c>
      <c r="D810" s="83" t="s">
        <v>7</v>
      </c>
      <c r="F810" s="83">
        <v>1</v>
      </c>
    </row>
    <row r="811" spans="1:6">
      <c r="A811" s="76" t="s">
        <v>237</v>
      </c>
      <c r="B811" s="83" t="str">
        <f>TEXT("20121355",REPT(0,8))</f>
        <v>20121355</v>
      </c>
      <c r="C811" s="83" t="s">
        <v>400</v>
      </c>
      <c r="D811" s="83" t="s">
        <v>7</v>
      </c>
      <c r="F811" s="83">
        <v>1</v>
      </c>
    </row>
    <row r="812" spans="1:6">
      <c r="A812" s="76" t="s">
        <v>237</v>
      </c>
      <c r="B812" s="83" t="str">
        <f>TEXT("20121356",REPT(0,8))</f>
        <v>20121356</v>
      </c>
      <c r="C812" s="83" t="s">
        <v>400</v>
      </c>
      <c r="D812" s="83" t="s">
        <v>7</v>
      </c>
      <c r="F812" s="83">
        <v>1</v>
      </c>
    </row>
    <row r="813" spans="1:6">
      <c r="A813" s="76" t="s">
        <v>237</v>
      </c>
      <c r="B813" s="83" t="str">
        <f>TEXT("20121357",REPT(0,8))</f>
        <v>20121357</v>
      </c>
      <c r="C813" s="83" t="s">
        <v>400</v>
      </c>
      <c r="D813" s="83" t="s">
        <v>7</v>
      </c>
      <c r="F813" s="83">
        <v>1</v>
      </c>
    </row>
    <row r="814" spans="1:6">
      <c r="A814" s="76" t="s">
        <v>237</v>
      </c>
      <c r="B814" s="83" t="str">
        <f>TEXT("20121358",REPT(0,8))</f>
        <v>20121358</v>
      </c>
      <c r="C814" s="83" t="s">
        <v>400</v>
      </c>
      <c r="D814" s="83" t="s">
        <v>7</v>
      </c>
      <c r="F814" s="83">
        <v>1</v>
      </c>
    </row>
    <row r="815" spans="1:6">
      <c r="A815" s="76" t="s">
        <v>237</v>
      </c>
      <c r="B815" s="83" t="str">
        <f>TEXT("20121359",REPT(0,8))</f>
        <v>20121359</v>
      </c>
      <c r="C815" s="83" t="s">
        <v>400</v>
      </c>
      <c r="D815" s="83" t="s">
        <v>7</v>
      </c>
      <c r="F815" s="83">
        <v>1</v>
      </c>
    </row>
    <row r="816" spans="1:6">
      <c r="A816" s="76" t="s">
        <v>237</v>
      </c>
      <c r="B816" s="83" t="str">
        <f>TEXT("20121360",REPT(0,8))</f>
        <v>20121360</v>
      </c>
      <c r="C816" s="83" t="s">
        <v>400</v>
      </c>
      <c r="D816" s="83" t="s">
        <v>7</v>
      </c>
      <c r="F816" s="83">
        <v>1</v>
      </c>
    </row>
    <row r="817" spans="1:6">
      <c r="A817" s="76" t="s">
        <v>237</v>
      </c>
      <c r="B817" s="83" t="str">
        <f>TEXT("20121361",REPT(0,8))</f>
        <v>20121361</v>
      </c>
      <c r="C817" s="83" t="s">
        <v>401</v>
      </c>
      <c r="D817" s="83" t="s">
        <v>7</v>
      </c>
      <c r="F817" s="83">
        <v>1</v>
      </c>
    </row>
    <row r="818" spans="1:6">
      <c r="A818" s="76" t="s">
        <v>237</v>
      </c>
      <c r="B818" s="83" t="str">
        <f>TEXT("20121362",REPT(0,8))</f>
        <v>20121362</v>
      </c>
      <c r="C818" s="83" t="s">
        <v>402</v>
      </c>
      <c r="D818" s="83" t="s">
        <v>7</v>
      </c>
      <c r="F818" s="83">
        <v>1</v>
      </c>
    </row>
    <row r="819" spans="1:6">
      <c r="A819" s="76" t="s">
        <v>237</v>
      </c>
      <c r="B819" s="83" t="str">
        <f>TEXT("20121363",REPT(0,8))</f>
        <v>20121363</v>
      </c>
      <c r="C819" s="83" t="s">
        <v>403</v>
      </c>
      <c r="D819" s="83" t="s">
        <v>7</v>
      </c>
      <c r="F819" s="83">
        <v>1</v>
      </c>
    </row>
    <row r="820" spans="1:6">
      <c r="A820" s="76" t="s">
        <v>237</v>
      </c>
      <c r="B820" s="83" t="str">
        <f>TEXT("20180918",REPT(0,8))</f>
        <v>20180918</v>
      </c>
      <c r="C820" s="83" t="s">
        <v>96</v>
      </c>
      <c r="D820" s="83" t="s">
        <v>7</v>
      </c>
      <c r="F820" s="83">
        <v>1</v>
      </c>
    </row>
    <row r="821" spans="1:6">
      <c r="A821" s="76" t="s">
        <v>237</v>
      </c>
      <c r="B821" s="83" t="str">
        <f>TEXT("20180733",REPT(0,8))</f>
        <v>20180733</v>
      </c>
      <c r="C821" s="83" t="s">
        <v>49</v>
      </c>
      <c r="D821" s="83" t="s">
        <v>7</v>
      </c>
      <c r="F821" s="83">
        <v>1</v>
      </c>
    </row>
    <row r="822" spans="1:6">
      <c r="A822" s="76" t="s">
        <v>237</v>
      </c>
      <c r="B822" s="83" t="str">
        <f>TEXT("20180929",REPT(0,8))</f>
        <v>20180929</v>
      </c>
      <c r="C822" s="83" t="s">
        <v>177</v>
      </c>
      <c r="D822" s="83" t="s">
        <v>7</v>
      </c>
      <c r="F822" s="83">
        <v>1</v>
      </c>
    </row>
    <row r="823" spans="1:6">
      <c r="A823" s="76" t="s">
        <v>237</v>
      </c>
      <c r="B823" s="83" t="str">
        <f>TEXT("20130149",REPT(0,8))</f>
        <v>20130149</v>
      </c>
      <c r="C823" s="83" t="s">
        <v>337</v>
      </c>
      <c r="D823" s="83" t="s">
        <v>7</v>
      </c>
      <c r="F823" s="83">
        <v>1</v>
      </c>
    </row>
    <row r="824" spans="1:6">
      <c r="A824" s="76" t="s">
        <v>237</v>
      </c>
      <c r="B824" s="83" t="str">
        <f>TEXT("20130153",REPT(0,8))</f>
        <v>20130153</v>
      </c>
      <c r="C824" s="83" t="s">
        <v>337</v>
      </c>
      <c r="D824" s="83" t="s">
        <v>7</v>
      </c>
      <c r="F824" s="83">
        <v>1</v>
      </c>
    </row>
    <row r="825" spans="1:6">
      <c r="A825" s="76" t="s">
        <v>237</v>
      </c>
      <c r="B825" s="83" t="str">
        <f>TEXT("20130144",REPT(0,8))</f>
        <v>20130144</v>
      </c>
      <c r="C825" s="83" t="s">
        <v>96</v>
      </c>
      <c r="D825" s="83" t="s">
        <v>7</v>
      </c>
      <c r="F825" s="83">
        <v>1</v>
      </c>
    </row>
    <row r="826" spans="1:6">
      <c r="A826" s="76" t="s">
        <v>237</v>
      </c>
      <c r="B826" s="83" t="str">
        <f>TEXT("20130225",REPT(0,8))</f>
        <v>20130225</v>
      </c>
      <c r="C826" s="83" t="s">
        <v>404</v>
      </c>
      <c r="D826" s="83" t="s">
        <v>7</v>
      </c>
      <c r="F826" s="83">
        <v>1</v>
      </c>
    </row>
    <row r="827" spans="1:6">
      <c r="A827" s="76" t="s">
        <v>237</v>
      </c>
      <c r="B827" s="83" t="str">
        <f>TEXT("20210882",REPT(0,8))</f>
        <v>20210882</v>
      </c>
      <c r="C827" s="83" t="s">
        <v>405</v>
      </c>
      <c r="D827" s="83" t="s">
        <v>7</v>
      </c>
      <c r="E827" s="82">
        <v>15411</v>
      </c>
      <c r="F827" s="83">
        <v>1</v>
      </c>
    </row>
    <row r="828" s="50" customFormat="1" spans="1:6">
      <c r="A828" s="76" t="s">
        <v>237</v>
      </c>
      <c r="B828" s="73" t="str">
        <f>TEXT("20040197",REPT(0,8))</f>
        <v>20040197</v>
      </c>
      <c r="C828" s="73" t="s">
        <v>406</v>
      </c>
      <c r="D828" s="72" t="s">
        <v>7</v>
      </c>
      <c r="E828" s="82"/>
      <c r="F828" s="83">
        <v>1</v>
      </c>
    </row>
    <row r="829" s="50" customFormat="1" spans="1:6">
      <c r="A829" s="76" t="s">
        <v>237</v>
      </c>
      <c r="B829" s="73" t="str">
        <f>TEXT("20110237",REPT(0,8))</f>
        <v>20110237</v>
      </c>
      <c r="C829" s="73" t="s">
        <v>407</v>
      </c>
      <c r="D829" s="72" t="s">
        <v>7</v>
      </c>
      <c r="E829" s="82"/>
      <c r="F829" s="83">
        <v>1</v>
      </c>
    </row>
    <row r="830" s="50" customFormat="1" spans="1:6">
      <c r="A830" s="76" t="s">
        <v>237</v>
      </c>
      <c r="B830" s="73" t="str">
        <f>TEXT("20070494",REPT(0,8))</f>
        <v>20070494</v>
      </c>
      <c r="C830" s="73" t="s">
        <v>408</v>
      </c>
      <c r="D830" s="72" t="s">
        <v>7</v>
      </c>
      <c r="E830" s="82"/>
      <c r="F830" s="83">
        <v>1</v>
      </c>
    </row>
    <row r="831" spans="1:6">
      <c r="A831" s="76" t="s">
        <v>237</v>
      </c>
      <c r="B831" s="83" t="str">
        <f>TEXT("20130101",REPT(0,8))</f>
        <v>20130101</v>
      </c>
      <c r="C831" s="83" t="s">
        <v>364</v>
      </c>
      <c r="D831" s="83" t="s">
        <v>7</v>
      </c>
      <c r="F831" s="83">
        <v>1</v>
      </c>
    </row>
    <row r="832" spans="1:6">
      <c r="A832" s="76" t="s">
        <v>237</v>
      </c>
      <c r="B832" s="83" t="str">
        <f>TEXT("20210710",REPT(0,8))</f>
        <v>20210710</v>
      </c>
      <c r="C832" s="83" t="s">
        <v>108</v>
      </c>
      <c r="D832" s="83" t="s">
        <v>7</v>
      </c>
      <c r="F832" s="83">
        <v>1</v>
      </c>
    </row>
    <row r="833" spans="1:6">
      <c r="A833" s="76" t="s">
        <v>237</v>
      </c>
      <c r="B833" s="83" t="str">
        <f>TEXT("20210893",REPT(0,8))</f>
        <v>20210893</v>
      </c>
      <c r="C833" s="83" t="s">
        <v>409</v>
      </c>
      <c r="D833" s="83" t="s">
        <v>7</v>
      </c>
      <c r="F833" s="83">
        <v>1</v>
      </c>
    </row>
    <row r="834" spans="1:6">
      <c r="A834" s="76" t="s">
        <v>237</v>
      </c>
      <c r="B834" s="83" t="str">
        <f>TEXT("20210894",REPT(0,8))</f>
        <v>20210894</v>
      </c>
      <c r="C834" s="83" t="s">
        <v>409</v>
      </c>
      <c r="D834" s="83" t="s">
        <v>7</v>
      </c>
      <c r="F834" s="83">
        <v>1</v>
      </c>
    </row>
    <row r="835" spans="1:6">
      <c r="A835" s="76" t="s">
        <v>237</v>
      </c>
      <c r="B835" s="83" t="str">
        <f>TEXT("20210895",REPT(0,8))</f>
        <v>20210895</v>
      </c>
      <c r="C835" s="83" t="s">
        <v>409</v>
      </c>
      <c r="D835" s="83" t="s">
        <v>7</v>
      </c>
      <c r="F835" s="83">
        <v>1</v>
      </c>
    </row>
    <row r="836" spans="1:6">
      <c r="A836" s="76" t="s">
        <v>237</v>
      </c>
      <c r="B836" s="83" t="str">
        <f>TEXT("20210896",REPT(0,8))</f>
        <v>20210896</v>
      </c>
      <c r="C836" s="83" t="s">
        <v>409</v>
      </c>
      <c r="D836" s="83" t="s">
        <v>7</v>
      </c>
      <c r="F836" s="83">
        <v>1</v>
      </c>
    </row>
    <row r="837" spans="1:6">
      <c r="A837" s="76" t="s">
        <v>237</v>
      </c>
      <c r="B837" s="83" t="str">
        <f>TEXT("20210897",REPT(0,8))</f>
        <v>20210897</v>
      </c>
      <c r="C837" s="83" t="s">
        <v>409</v>
      </c>
      <c r="D837" s="83" t="s">
        <v>7</v>
      </c>
      <c r="F837" s="83">
        <v>1</v>
      </c>
    </row>
    <row r="838" spans="1:6">
      <c r="A838" s="76" t="s">
        <v>237</v>
      </c>
      <c r="B838" s="83" t="str">
        <f>TEXT("20210898",REPT(0,8))</f>
        <v>20210898</v>
      </c>
      <c r="C838" s="83" t="s">
        <v>409</v>
      </c>
      <c r="D838" s="83" t="s">
        <v>7</v>
      </c>
      <c r="F838" s="83">
        <v>1</v>
      </c>
    </row>
    <row r="839" spans="1:6">
      <c r="A839" s="76" t="s">
        <v>237</v>
      </c>
      <c r="B839" s="83" t="str">
        <f>TEXT("20210899",REPT(0,8))</f>
        <v>20210899</v>
      </c>
      <c r="C839" s="83" t="s">
        <v>409</v>
      </c>
      <c r="D839" s="83" t="s">
        <v>7</v>
      </c>
      <c r="F839" s="83">
        <v>1</v>
      </c>
    </row>
    <row r="840" spans="1:6">
      <c r="A840" s="76" t="s">
        <v>237</v>
      </c>
      <c r="B840" s="83" t="str">
        <f>TEXT("20210900",REPT(0,8))</f>
        <v>20210900</v>
      </c>
      <c r="C840" s="83" t="s">
        <v>409</v>
      </c>
      <c r="D840" s="83" t="s">
        <v>7</v>
      </c>
      <c r="F840" s="83">
        <v>1</v>
      </c>
    </row>
    <row r="841" spans="1:6">
      <c r="A841" s="76" t="s">
        <v>237</v>
      </c>
      <c r="B841" s="83" t="str">
        <f>TEXT("20210901",REPT(0,8))</f>
        <v>20210901</v>
      </c>
      <c r="C841" s="83" t="s">
        <v>409</v>
      </c>
      <c r="D841" s="83" t="s">
        <v>7</v>
      </c>
      <c r="F841" s="83">
        <v>1</v>
      </c>
    </row>
    <row r="842" spans="1:6">
      <c r="A842" s="76" t="s">
        <v>237</v>
      </c>
      <c r="B842" s="83" t="str">
        <f>TEXT("20210902",REPT(0,8))</f>
        <v>20210902</v>
      </c>
      <c r="C842" s="83" t="s">
        <v>409</v>
      </c>
      <c r="D842" s="83" t="s">
        <v>7</v>
      </c>
      <c r="F842" s="83">
        <v>1</v>
      </c>
    </row>
    <row r="843" spans="1:6">
      <c r="A843" s="76" t="s">
        <v>237</v>
      </c>
      <c r="B843" s="83" t="str">
        <f>TEXT("20210903",REPT(0,8))</f>
        <v>20210903</v>
      </c>
      <c r="C843" s="83" t="s">
        <v>409</v>
      </c>
      <c r="D843" s="83" t="s">
        <v>7</v>
      </c>
      <c r="F843" s="83">
        <v>1</v>
      </c>
    </row>
    <row r="844" spans="1:6">
      <c r="A844" s="76" t="s">
        <v>237</v>
      </c>
      <c r="B844" s="83" t="str">
        <f>TEXT("20210904",REPT(0,8))</f>
        <v>20210904</v>
      </c>
      <c r="C844" s="83" t="s">
        <v>409</v>
      </c>
      <c r="D844" s="83" t="s">
        <v>7</v>
      </c>
      <c r="F844" s="83">
        <v>1</v>
      </c>
    </row>
    <row r="845" spans="1:6">
      <c r="A845" s="76" t="s">
        <v>237</v>
      </c>
      <c r="B845" s="83" t="str">
        <f>TEXT("20210905",REPT(0,8))</f>
        <v>20210905</v>
      </c>
      <c r="C845" s="83" t="s">
        <v>409</v>
      </c>
      <c r="D845" s="83" t="s">
        <v>7</v>
      </c>
      <c r="F845" s="83">
        <v>1</v>
      </c>
    </row>
    <row r="846" spans="1:6">
      <c r="A846" s="76" t="s">
        <v>237</v>
      </c>
      <c r="B846" s="83" t="str">
        <f>TEXT("20210906",REPT(0,8))</f>
        <v>20210906</v>
      </c>
      <c r="C846" s="83" t="s">
        <v>409</v>
      </c>
      <c r="D846" s="83" t="s">
        <v>7</v>
      </c>
      <c r="F846" s="83">
        <v>1</v>
      </c>
    </row>
    <row r="847" spans="1:6">
      <c r="A847" s="76" t="s">
        <v>237</v>
      </c>
      <c r="B847" s="83" t="str">
        <f>TEXT("20210907",REPT(0,8))</f>
        <v>20210907</v>
      </c>
      <c r="C847" s="83" t="s">
        <v>409</v>
      </c>
      <c r="D847" s="83" t="s">
        <v>7</v>
      </c>
      <c r="F847" s="83">
        <v>1</v>
      </c>
    </row>
    <row r="848" spans="1:6">
      <c r="A848" s="76" t="s">
        <v>237</v>
      </c>
      <c r="B848" s="83" t="str">
        <f>TEXT("20210908",REPT(0,8))</f>
        <v>20210908</v>
      </c>
      <c r="C848" s="83" t="s">
        <v>409</v>
      </c>
      <c r="D848" s="83" t="s">
        <v>7</v>
      </c>
      <c r="F848" s="83">
        <v>1</v>
      </c>
    </row>
    <row r="849" spans="1:6">
      <c r="A849" s="76" t="s">
        <v>237</v>
      </c>
      <c r="B849" s="83" t="str">
        <f>TEXT("20210909",REPT(0,8))</f>
        <v>20210909</v>
      </c>
      <c r="C849" s="83" t="s">
        <v>409</v>
      </c>
      <c r="D849" s="83" t="s">
        <v>7</v>
      </c>
      <c r="F849" s="83">
        <v>1</v>
      </c>
    </row>
    <row r="850" spans="1:6">
      <c r="A850" s="76" t="s">
        <v>237</v>
      </c>
      <c r="B850" s="83" t="str">
        <f>TEXT("20210910",REPT(0,8))</f>
        <v>20210910</v>
      </c>
      <c r="C850" s="83" t="s">
        <v>409</v>
      </c>
      <c r="D850" s="83" t="s">
        <v>7</v>
      </c>
      <c r="F850" s="83">
        <v>1</v>
      </c>
    </row>
    <row r="851" spans="1:6">
      <c r="A851" s="76" t="s">
        <v>237</v>
      </c>
      <c r="B851" s="83" t="str">
        <f>TEXT("20210911",REPT(0,8))</f>
        <v>20210911</v>
      </c>
      <c r="C851" s="83" t="s">
        <v>409</v>
      </c>
      <c r="D851" s="83" t="s">
        <v>7</v>
      </c>
      <c r="F851" s="83">
        <v>1</v>
      </c>
    </row>
    <row r="852" spans="1:6">
      <c r="A852" s="76" t="s">
        <v>237</v>
      </c>
      <c r="B852" s="83" t="str">
        <f>TEXT("20210912",REPT(0,8))</f>
        <v>20210912</v>
      </c>
      <c r="C852" s="83" t="s">
        <v>409</v>
      </c>
      <c r="D852" s="83" t="s">
        <v>7</v>
      </c>
      <c r="F852" s="83">
        <v>1</v>
      </c>
    </row>
    <row r="853" spans="1:6">
      <c r="A853" s="76" t="s">
        <v>237</v>
      </c>
      <c r="B853" s="83" t="str">
        <f>TEXT("20210913",REPT(0,8))</f>
        <v>20210913</v>
      </c>
      <c r="C853" s="83" t="s">
        <v>409</v>
      </c>
      <c r="D853" s="83" t="s">
        <v>7</v>
      </c>
      <c r="F853" s="83">
        <v>1</v>
      </c>
    </row>
    <row r="854" spans="1:6">
      <c r="A854" s="76" t="s">
        <v>237</v>
      </c>
      <c r="B854" s="83" t="str">
        <f>TEXT("20210914",REPT(0,8))</f>
        <v>20210914</v>
      </c>
      <c r="C854" s="83" t="s">
        <v>409</v>
      </c>
      <c r="D854" s="83" t="s">
        <v>7</v>
      </c>
      <c r="F854" s="83">
        <v>1</v>
      </c>
    </row>
    <row r="855" spans="1:6">
      <c r="A855" s="76" t="s">
        <v>237</v>
      </c>
      <c r="B855" s="83" t="str">
        <f>TEXT("20210915",REPT(0,8))</f>
        <v>20210915</v>
      </c>
      <c r="C855" s="83" t="s">
        <v>409</v>
      </c>
      <c r="D855" s="83" t="s">
        <v>7</v>
      </c>
      <c r="F855" s="83">
        <v>1</v>
      </c>
    </row>
    <row r="856" spans="1:6">
      <c r="A856" s="76" t="s">
        <v>237</v>
      </c>
      <c r="B856" s="83" t="str">
        <f>TEXT("20210916",REPT(0,8))</f>
        <v>20210916</v>
      </c>
      <c r="C856" s="83" t="s">
        <v>409</v>
      </c>
      <c r="D856" s="83" t="s">
        <v>7</v>
      </c>
      <c r="F856" s="83">
        <v>1</v>
      </c>
    </row>
    <row r="857" spans="1:6">
      <c r="A857" s="76" t="s">
        <v>237</v>
      </c>
      <c r="B857" s="83" t="str">
        <f>TEXT("20210917",REPT(0,8))</f>
        <v>20210917</v>
      </c>
      <c r="C857" s="83" t="s">
        <v>409</v>
      </c>
      <c r="D857" s="83" t="s">
        <v>7</v>
      </c>
      <c r="F857" s="83">
        <v>1</v>
      </c>
    </row>
    <row r="858" spans="1:6">
      <c r="A858" s="76" t="s">
        <v>237</v>
      </c>
      <c r="B858" s="83" t="str">
        <f>TEXT("20210918",REPT(0,8))</f>
        <v>20210918</v>
      </c>
      <c r="C858" s="83" t="s">
        <v>409</v>
      </c>
      <c r="D858" s="83" t="s">
        <v>7</v>
      </c>
      <c r="F858" s="83">
        <v>1</v>
      </c>
    </row>
    <row r="859" spans="1:6">
      <c r="A859" s="76" t="s">
        <v>237</v>
      </c>
      <c r="B859" s="83" t="str">
        <f>TEXT("20210919",REPT(0,8))</f>
        <v>20210919</v>
      </c>
      <c r="C859" s="83" t="s">
        <v>409</v>
      </c>
      <c r="D859" s="83" t="s">
        <v>7</v>
      </c>
      <c r="F859" s="83">
        <v>1</v>
      </c>
    </row>
    <row r="860" spans="1:6">
      <c r="A860" s="76" t="s">
        <v>237</v>
      </c>
      <c r="B860" s="83" t="str">
        <f>TEXT("20210920",REPT(0,8))</f>
        <v>20210920</v>
      </c>
      <c r="C860" s="83" t="s">
        <v>409</v>
      </c>
      <c r="D860" s="83" t="s">
        <v>7</v>
      </c>
      <c r="F860" s="83">
        <v>1</v>
      </c>
    </row>
    <row r="861" spans="1:6">
      <c r="A861" s="76" t="s">
        <v>237</v>
      </c>
      <c r="B861" s="83" t="str">
        <f>TEXT("20210921",REPT(0,8))</f>
        <v>20210921</v>
      </c>
      <c r="C861" s="83" t="s">
        <v>409</v>
      </c>
      <c r="D861" s="83" t="s">
        <v>7</v>
      </c>
      <c r="F861" s="83">
        <v>1</v>
      </c>
    </row>
    <row r="862" spans="1:6">
      <c r="A862" s="76" t="s">
        <v>237</v>
      </c>
      <c r="B862" s="83" t="str">
        <f>TEXT("20210922",REPT(0,8))</f>
        <v>20210922</v>
      </c>
      <c r="C862" s="83" t="s">
        <v>409</v>
      </c>
      <c r="D862" s="83" t="s">
        <v>7</v>
      </c>
      <c r="F862" s="83">
        <v>1</v>
      </c>
    </row>
    <row r="863" spans="1:6">
      <c r="A863" s="76" t="s">
        <v>237</v>
      </c>
      <c r="B863" s="83" t="str">
        <f>TEXT("20210923",REPT(0,8))</f>
        <v>20210923</v>
      </c>
      <c r="C863" s="83" t="s">
        <v>409</v>
      </c>
      <c r="D863" s="83" t="s">
        <v>7</v>
      </c>
      <c r="F863" s="83">
        <v>1</v>
      </c>
    </row>
    <row r="864" spans="1:6">
      <c r="A864" s="76" t="s">
        <v>237</v>
      </c>
      <c r="B864" s="83" t="str">
        <f>TEXT("20211020",REPT(0,8))</f>
        <v>20211020</v>
      </c>
      <c r="C864" s="83" t="s">
        <v>410</v>
      </c>
      <c r="D864" s="83" t="s">
        <v>7</v>
      </c>
      <c r="F864" s="83">
        <v>1</v>
      </c>
    </row>
    <row r="865" spans="1:6">
      <c r="A865" s="76" t="s">
        <v>237</v>
      </c>
      <c r="B865" s="83" t="str">
        <f>TEXT("20211313",REPT(0,8))</f>
        <v>20211313</v>
      </c>
      <c r="C865" s="83" t="s">
        <v>96</v>
      </c>
      <c r="D865" s="83" t="s">
        <v>7</v>
      </c>
      <c r="F865" s="83">
        <v>1</v>
      </c>
    </row>
    <row r="866" spans="1:6">
      <c r="A866" s="76" t="s">
        <v>237</v>
      </c>
      <c r="B866" s="83" t="str">
        <f>TEXT("20211314",REPT(0,8))</f>
        <v>20211314</v>
      </c>
      <c r="C866" s="83" t="s">
        <v>96</v>
      </c>
      <c r="D866" s="83" t="s">
        <v>7</v>
      </c>
      <c r="F866" s="83">
        <v>1</v>
      </c>
    </row>
    <row r="867" spans="1:6">
      <c r="A867" s="76" t="s">
        <v>237</v>
      </c>
      <c r="B867" s="83" t="str">
        <f>TEXT("20211315",REPT(0,8))</f>
        <v>20211315</v>
      </c>
      <c r="C867" s="83" t="s">
        <v>96</v>
      </c>
      <c r="D867" s="83" t="s">
        <v>7</v>
      </c>
      <c r="F867" s="83">
        <v>1</v>
      </c>
    </row>
    <row r="868" spans="1:6">
      <c r="A868" s="76" t="s">
        <v>237</v>
      </c>
      <c r="B868" s="83" t="str">
        <f>TEXT("20211316",REPT(0,8))</f>
        <v>20211316</v>
      </c>
      <c r="C868" s="83" t="s">
        <v>96</v>
      </c>
      <c r="D868" s="83" t="s">
        <v>7</v>
      </c>
      <c r="F868" s="83">
        <v>1</v>
      </c>
    </row>
    <row r="869" spans="1:6">
      <c r="A869" s="76" t="s">
        <v>237</v>
      </c>
      <c r="B869" s="83" t="str">
        <f>TEXT("20211317",REPT(0,8))</f>
        <v>20211317</v>
      </c>
      <c r="C869" s="83" t="s">
        <v>96</v>
      </c>
      <c r="D869" s="83" t="s">
        <v>7</v>
      </c>
      <c r="F869" s="83">
        <v>1</v>
      </c>
    </row>
    <row r="870" spans="1:6">
      <c r="A870" s="76" t="s">
        <v>237</v>
      </c>
      <c r="B870" s="83" t="str">
        <f>TEXT("20211318",REPT(0,8))</f>
        <v>20211318</v>
      </c>
      <c r="C870" s="83" t="s">
        <v>96</v>
      </c>
      <c r="D870" s="83" t="s">
        <v>7</v>
      </c>
      <c r="F870" s="83">
        <v>1</v>
      </c>
    </row>
    <row r="871" spans="1:6">
      <c r="A871" s="76" t="s">
        <v>237</v>
      </c>
      <c r="B871" s="83" t="str">
        <f>TEXT("20211319",REPT(0,8))</f>
        <v>20211319</v>
      </c>
      <c r="C871" s="83" t="s">
        <v>96</v>
      </c>
      <c r="D871" s="83" t="s">
        <v>7</v>
      </c>
      <c r="F871" s="83">
        <v>1</v>
      </c>
    </row>
    <row r="872" spans="1:6">
      <c r="A872" s="76" t="s">
        <v>237</v>
      </c>
      <c r="B872" s="83" t="str">
        <f>TEXT("20211320",REPT(0,8))</f>
        <v>20211320</v>
      </c>
      <c r="C872" s="83" t="s">
        <v>96</v>
      </c>
      <c r="D872" s="83" t="s">
        <v>7</v>
      </c>
      <c r="F872" s="83">
        <v>1</v>
      </c>
    </row>
    <row r="873" spans="1:6">
      <c r="A873" s="76" t="s">
        <v>237</v>
      </c>
      <c r="B873" s="83" t="str">
        <f>TEXT("20211321",REPT(0,8))</f>
        <v>20211321</v>
      </c>
      <c r="C873" s="83" t="s">
        <v>96</v>
      </c>
      <c r="D873" s="83" t="s">
        <v>7</v>
      </c>
      <c r="F873" s="83">
        <v>1</v>
      </c>
    </row>
    <row r="874" spans="1:6">
      <c r="A874" s="76" t="s">
        <v>237</v>
      </c>
      <c r="B874" s="83" t="str">
        <f>TEXT("20211322",REPT(0,8))</f>
        <v>20211322</v>
      </c>
      <c r="C874" s="83" t="s">
        <v>96</v>
      </c>
      <c r="D874" s="83" t="s">
        <v>7</v>
      </c>
      <c r="F874" s="83">
        <v>1</v>
      </c>
    </row>
    <row r="875" spans="1:6">
      <c r="A875" s="76" t="s">
        <v>237</v>
      </c>
      <c r="B875" s="83" t="str">
        <f>TEXT("20211323",REPT(0,8))</f>
        <v>20211323</v>
      </c>
      <c r="C875" s="83" t="s">
        <v>96</v>
      </c>
      <c r="D875" s="83" t="s">
        <v>7</v>
      </c>
      <c r="F875" s="83">
        <v>1</v>
      </c>
    </row>
    <row r="876" spans="1:6">
      <c r="A876" s="76" t="s">
        <v>237</v>
      </c>
      <c r="B876" s="83" t="str">
        <f>TEXT("20211324",REPT(0,8))</f>
        <v>20211324</v>
      </c>
      <c r="C876" s="83" t="s">
        <v>96</v>
      </c>
      <c r="D876" s="83" t="s">
        <v>7</v>
      </c>
      <c r="F876" s="83">
        <v>1</v>
      </c>
    </row>
    <row r="877" spans="1:6">
      <c r="A877" s="76" t="s">
        <v>237</v>
      </c>
      <c r="B877" s="83" t="str">
        <f>TEXT("20211325",REPT(0,8))</f>
        <v>20211325</v>
      </c>
      <c r="C877" s="83" t="s">
        <v>96</v>
      </c>
      <c r="D877" s="83" t="s">
        <v>7</v>
      </c>
      <c r="F877" s="83">
        <v>1</v>
      </c>
    </row>
    <row r="878" spans="1:6">
      <c r="A878" s="76" t="s">
        <v>237</v>
      </c>
      <c r="B878" s="83" t="str">
        <f>TEXT("20211326",REPT(0,8))</f>
        <v>20211326</v>
      </c>
      <c r="C878" s="83" t="s">
        <v>96</v>
      </c>
      <c r="D878" s="83" t="s">
        <v>7</v>
      </c>
      <c r="F878" s="83">
        <v>1</v>
      </c>
    </row>
    <row r="879" spans="1:6">
      <c r="A879" s="76" t="s">
        <v>237</v>
      </c>
      <c r="B879" s="83" t="str">
        <f>TEXT("20211327",REPT(0,8))</f>
        <v>20211327</v>
      </c>
      <c r="C879" s="83" t="s">
        <v>96</v>
      </c>
      <c r="D879" s="83" t="s">
        <v>7</v>
      </c>
      <c r="F879" s="83">
        <v>1</v>
      </c>
    </row>
    <row r="880" spans="1:6">
      <c r="A880" s="76" t="s">
        <v>237</v>
      </c>
      <c r="B880" s="83" t="str">
        <f>TEXT("20211328",REPT(0,8))</f>
        <v>20211328</v>
      </c>
      <c r="C880" s="83" t="s">
        <v>96</v>
      </c>
      <c r="D880" s="83" t="s">
        <v>7</v>
      </c>
      <c r="F880" s="83">
        <v>1</v>
      </c>
    </row>
    <row r="881" spans="1:6">
      <c r="A881" s="76" t="s">
        <v>237</v>
      </c>
      <c r="B881" s="83" t="str">
        <f>TEXT("20211329",REPT(0,8))</f>
        <v>20211329</v>
      </c>
      <c r="C881" s="83" t="s">
        <v>96</v>
      </c>
      <c r="D881" s="83" t="s">
        <v>7</v>
      </c>
      <c r="F881" s="83">
        <v>1</v>
      </c>
    </row>
    <row r="882" spans="1:6">
      <c r="A882" s="76" t="s">
        <v>237</v>
      </c>
      <c r="B882" s="83" t="str">
        <f>TEXT("20211330",REPT(0,8))</f>
        <v>20211330</v>
      </c>
      <c r="C882" s="83" t="s">
        <v>96</v>
      </c>
      <c r="D882" s="83" t="s">
        <v>7</v>
      </c>
      <c r="F882" s="83">
        <v>1</v>
      </c>
    </row>
    <row r="883" spans="1:6">
      <c r="A883" s="76" t="s">
        <v>237</v>
      </c>
      <c r="B883" s="83" t="str">
        <f>TEXT("20211331",REPT(0,8))</f>
        <v>20211331</v>
      </c>
      <c r="C883" s="83" t="s">
        <v>96</v>
      </c>
      <c r="D883" s="83" t="s">
        <v>7</v>
      </c>
      <c r="F883" s="83">
        <v>1</v>
      </c>
    </row>
    <row r="884" spans="1:6">
      <c r="A884" s="76" t="s">
        <v>237</v>
      </c>
      <c r="B884" s="83" t="str">
        <f>TEXT("20211332",REPT(0,8))</f>
        <v>20211332</v>
      </c>
      <c r="C884" s="83" t="s">
        <v>96</v>
      </c>
      <c r="D884" s="83" t="s">
        <v>7</v>
      </c>
      <c r="F884" s="83">
        <v>1</v>
      </c>
    </row>
    <row r="885" spans="1:6">
      <c r="A885" s="76" t="s">
        <v>237</v>
      </c>
      <c r="B885" s="83" t="str">
        <f>TEXT("20211333",REPT(0,8))</f>
        <v>20211333</v>
      </c>
      <c r="C885" s="83" t="s">
        <v>96</v>
      </c>
      <c r="D885" s="83" t="s">
        <v>7</v>
      </c>
      <c r="F885" s="83">
        <v>1</v>
      </c>
    </row>
    <row r="886" spans="1:6">
      <c r="A886" s="76" t="s">
        <v>237</v>
      </c>
      <c r="B886" s="83" t="str">
        <f>TEXT("20211334",REPT(0,8))</f>
        <v>20211334</v>
      </c>
      <c r="C886" s="83" t="s">
        <v>96</v>
      </c>
      <c r="D886" s="83" t="s">
        <v>7</v>
      </c>
      <c r="F886" s="83">
        <v>1</v>
      </c>
    </row>
    <row r="887" spans="1:6">
      <c r="A887" s="76" t="s">
        <v>237</v>
      </c>
      <c r="B887" s="83" t="str">
        <f>TEXT("20211335",REPT(0,8))</f>
        <v>20211335</v>
      </c>
      <c r="C887" s="83" t="s">
        <v>96</v>
      </c>
      <c r="D887" s="83" t="s">
        <v>7</v>
      </c>
      <c r="F887" s="83">
        <v>1</v>
      </c>
    </row>
    <row r="888" spans="1:6">
      <c r="A888" s="76" t="s">
        <v>237</v>
      </c>
      <c r="B888" s="83" t="str">
        <f>TEXT("20211336",REPT(0,8))</f>
        <v>20211336</v>
      </c>
      <c r="C888" s="83" t="s">
        <v>96</v>
      </c>
      <c r="D888" s="83" t="s">
        <v>7</v>
      </c>
      <c r="F888" s="83">
        <v>1</v>
      </c>
    </row>
    <row r="889" spans="1:6">
      <c r="A889" s="76" t="s">
        <v>237</v>
      </c>
      <c r="B889" s="83" t="str">
        <f>TEXT("20211337",REPT(0,8))</f>
        <v>20211337</v>
      </c>
      <c r="C889" s="83" t="s">
        <v>96</v>
      </c>
      <c r="D889" s="83" t="s">
        <v>7</v>
      </c>
      <c r="F889" s="83">
        <v>1</v>
      </c>
    </row>
    <row r="890" spans="1:6">
      <c r="A890" s="76" t="s">
        <v>237</v>
      </c>
      <c r="B890" s="83" t="str">
        <f>TEXT("20211338",REPT(0,8))</f>
        <v>20211338</v>
      </c>
      <c r="C890" s="83" t="s">
        <v>96</v>
      </c>
      <c r="D890" s="83" t="s">
        <v>7</v>
      </c>
      <c r="F890" s="83">
        <v>1</v>
      </c>
    </row>
    <row r="891" spans="1:6">
      <c r="A891" s="76" t="s">
        <v>237</v>
      </c>
      <c r="B891" s="83" t="str">
        <f>TEXT("20211339",REPT(0,8))</f>
        <v>20211339</v>
      </c>
      <c r="C891" s="83" t="s">
        <v>96</v>
      </c>
      <c r="D891" s="83" t="s">
        <v>7</v>
      </c>
      <c r="F891" s="83">
        <v>1</v>
      </c>
    </row>
    <row r="892" spans="1:6">
      <c r="A892" s="76" t="s">
        <v>237</v>
      </c>
      <c r="B892" s="83" t="str">
        <f>TEXT("20211340",REPT(0,8))</f>
        <v>20211340</v>
      </c>
      <c r="C892" s="83" t="s">
        <v>96</v>
      </c>
      <c r="D892" s="83" t="s">
        <v>7</v>
      </c>
      <c r="F892" s="83">
        <v>1</v>
      </c>
    </row>
    <row r="893" spans="1:6">
      <c r="A893" s="76" t="s">
        <v>237</v>
      </c>
      <c r="B893" s="83" t="str">
        <f>TEXT("20211341",REPT(0,8))</f>
        <v>20211341</v>
      </c>
      <c r="C893" s="83" t="s">
        <v>96</v>
      </c>
      <c r="D893" s="83" t="s">
        <v>7</v>
      </c>
      <c r="F893" s="83">
        <v>1</v>
      </c>
    </row>
    <row r="894" spans="1:6">
      <c r="A894" s="76" t="s">
        <v>237</v>
      </c>
      <c r="B894" s="83" t="str">
        <f>TEXT("20211342",REPT(0,8))</f>
        <v>20211342</v>
      </c>
      <c r="C894" s="83" t="s">
        <v>96</v>
      </c>
      <c r="D894" s="83" t="s">
        <v>7</v>
      </c>
      <c r="F894" s="83">
        <v>1</v>
      </c>
    </row>
    <row r="895" spans="1:6">
      <c r="A895" s="76" t="s">
        <v>237</v>
      </c>
      <c r="B895" s="83" t="str">
        <f>TEXT("20211343",REPT(0,8))</f>
        <v>20211343</v>
      </c>
      <c r="C895" s="83" t="s">
        <v>96</v>
      </c>
      <c r="D895" s="83" t="s">
        <v>7</v>
      </c>
      <c r="F895" s="83">
        <v>1</v>
      </c>
    </row>
    <row r="896" spans="1:6">
      <c r="A896" s="76" t="s">
        <v>237</v>
      </c>
      <c r="B896" s="83" t="str">
        <f>TEXT("20130019",REPT(0,8))</f>
        <v>20130019</v>
      </c>
      <c r="C896" s="83" t="s">
        <v>411</v>
      </c>
      <c r="D896" s="83" t="s">
        <v>7</v>
      </c>
      <c r="F896" s="83">
        <v>1</v>
      </c>
    </row>
    <row r="897" spans="1:6">
      <c r="A897" s="76" t="s">
        <v>237</v>
      </c>
      <c r="B897" s="83" t="str">
        <f>TEXT("20130020",REPT(0,8))</f>
        <v>20130020</v>
      </c>
      <c r="C897" s="83" t="s">
        <v>411</v>
      </c>
      <c r="D897" s="83" t="s">
        <v>7</v>
      </c>
      <c r="F897" s="83">
        <v>1</v>
      </c>
    </row>
    <row r="898" spans="1:6">
      <c r="A898" s="76" t="s">
        <v>237</v>
      </c>
      <c r="B898" s="83" t="str">
        <f>TEXT("20130021",REPT(0,8))</f>
        <v>20130021</v>
      </c>
      <c r="C898" s="83" t="s">
        <v>411</v>
      </c>
      <c r="D898" s="83" t="s">
        <v>7</v>
      </c>
      <c r="F898" s="83">
        <v>1</v>
      </c>
    </row>
    <row r="899" spans="1:6">
      <c r="A899" s="76" t="s">
        <v>237</v>
      </c>
      <c r="B899" s="83" t="str">
        <f>TEXT("20130022",REPT(0,8))</f>
        <v>20130022</v>
      </c>
      <c r="C899" s="83" t="s">
        <v>411</v>
      </c>
      <c r="D899" s="83" t="s">
        <v>7</v>
      </c>
      <c r="F899" s="83">
        <v>1</v>
      </c>
    </row>
    <row r="900" spans="1:6">
      <c r="A900" s="76" t="s">
        <v>237</v>
      </c>
      <c r="B900" s="83" t="str">
        <f>TEXT("20130023",REPT(0,8))</f>
        <v>20130023</v>
      </c>
      <c r="C900" s="83" t="s">
        <v>411</v>
      </c>
      <c r="D900" s="83" t="s">
        <v>7</v>
      </c>
      <c r="F900" s="83">
        <v>1</v>
      </c>
    </row>
    <row r="901" spans="1:6">
      <c r="A901" s="76" t="s">
        <v>237</v>
      </c>
      <c r="B901" s="83" t="str">
        <f>TEXT("20130024",REPT(0,8))</f>
        <v>20130024</v>
      </c>
      <c r="C901" s="83" t="s">
        <v>411</v>
      </c>
      <c r="D901" s="83" t="s">
        <v>7</v>
      </c>
      <c r="F901" s="83">
        <v>1</v>
      </c>
    </row>
    <row r="902" spans="1:6">
      <c r="A902" s="76" t="s">
        <v>237</v>
      </c>
      <c r="B902" s="83" t="str">
        <f>TEXT("20130025",REPT(0,8))</f>
        <v>20130025</v>
      </c>
      <c r="C902" s="83" t="s">
        <v>411</v>
      </c>
      <c r="D902" s="83" t="s">
        <v>7</v>
      </c>
      <c r="F902" s="83">
        <v>1</v>
      </c>
    </row>
    <row r="903" spans="1:6">
      <c r="A903" s="76" t="s">
        <v>237</v>
      </c>
      <c r="B903" s="83" t="str">
        <f>TEXT("20130026",REPT(0,8))</f>
        <v>20130026</v>
      </c>
      <c r="C903" s="83" t="s">
        <v>411</v>
      </c>
      <c r="D903" s="83" t="s">
        <v>7</v>
      </c>
      <c r="F903" s="83">
        <v>1</v>
      </c>
    </row>
    <row r="904" spans="1:6">
      <c r="A904" s="76" t="s">
        <v>237</v>
      </c>
      <c r="B904" s="83" t="str">
        <f>TEXT("20110303",REPT(0,8))</f>
        <v>20110303</v>
      </c>
      <c r="C904" s="83" t="s">
        <v>96</v>
      </c>
      <c r="D904" s="83" t="s">
        <v>7</v>
      </c>
      <c r="F904" s="83">
        <v>1</v>
      </c>
    </row>
    <row r="905" spans="1:6">
      <c r="A905" s="76" t="s">
        <v>237</v>
      </c>
      <c r="B905" s="83" t="str">
        <f>TEXT("20110306",REPT(0,8))</f>
        <v>20110306</v>
      </c>
      <c r="C905" s="83" t="s">
        <v>96</v>
      </c>
      <c r="D905" s="83" t="s">
        <v>7</v>
      </c>
      <c r="F905" s="83">
        <v>1</v>
      </c>
    </row>
    <row r="906" spans="1:6">
      <c r="A906" s="76" t="s">
        <v>237</v>
      </c>
      <c r="B906" s="83" t="str">
        <f>TEXT("20110313",REPT(0,8))</f>
        <v>20110313</v>
      </c>
      <c r="C906" s="83" t="s">
        <v>96</v>
      </c>
      <c r="D906" s="83" t="s">
        <v>7</v>
      </c>
      <c r="F906" s="83">
        <v>1</v>
      </c>
    </row>
    <row r="907" spans="1:6">
      <c r="A907" s="76" t="s">
        <v>237</v>
      </c>
      <c r="B907" s="83" t="str">
        <f>TEXT("20110317",REPT(0,8))</f>
        <v>20110317</v>
      </c>
      <c r="C907" s="83" t="s">
        <v>96</v>
      </c>
      <c r="D907" s="83" t="s">
        <v>7</v>
      </c>
      <c r="F907" s="83">
        <v>1</v>
      </c>
    </row>
    <row r="908" spans="1:6">
      <c r="A908" s="76" t="s">
        <v>237</v>
      </c>
      <c r="B908" s="83" t="str">
        <f>TEXT("20110321",REPT(0,8))</f>
        <v>20110321</v>
      </c>
      <c r="C908" s="83" t="s">
        <v>96</v>
      </c>
      <c r="D908" s="83" t="s">
        <v>7</v>
      </c>
      <c r="F908" s="83">
        <v>1</v>
      </c>
    </row>
    <row r="909" spans="1:6">
      <c r="A909" s="76" t="s">
        <v>237</v>
      </c>
      <c r="B909" s="83" t="str">
        <f>TEXT("20110322",REPT(0,8))</f>
        <v>20110322</v>
      </c>
      <c r="C909" s="83" t="s">
        <v>96</v>
      </c>
      <c r="D909" s="83" t="s">
        <v>7</v>
      </c>
      <c r="F909" s="83">
        <v>1</v>
      </c>
    </row>
    <row r="910" spans="1:6">
      <c r="A910" s="76" t="s">
        <v>237</v>
      </c>
      <c r="B910" s="83" t="str">
        <f>TEXT("20110327",REPT(0,8))</f>
        <v>20110327</v>
      </c>
      <c r="C910" s="83" t="s">
        <v>96</v>
      </c>
      <c r="D910" s="83" t="s">
        <v>7</v>
      </c>
      <c r="F910" s="83">
        <v>1</v>
      </c>
    </row>
    <row r="911" spans="1:6">
      <c r="A911" s="76" t="s">
        <v>237</v>
      </c>
      <c r="B911" s="83" t="str">
        <f>TEXT("20110328",REPT(0,8))</f>
        <v>20110328</v>
      </c>
      <c r="C911" s="83" t="s">
        <v>96</v>
      </c>
      <c r="D911" s="83" t="s">
        <v>7</v>
      </c>
      <c r="F911" s="83">
        <v>1</v>
      </c>
    </row>
    <row r="912" spans="1:6">
      <c r="A912" s="76" t="s">
        <v>237</v>
      </c>
      <c r="B912" s="83" t="str">
        <f>TEXT("20120944",REPT(0,8))</f>
        <v>20120944</v>
      </c>
      <c r="C912" s="83" t="s">
        <v>96</v>
      </c>
      <c r="D912" s="83" t="s">
        <v>7</v>
      </c>
      <c r="F912" s="83">
        <v>1</v>
      </c>
    </row>
    <row r="913" s="76" customFormat="1" spans="1:2565">
      <c r="A913" s="76" t="s">
        <v>237</v>
      </c>
      <c r="B913" s="83" t="str">
        <f>TEXT("20120828",REPT(0,8))</f>
        <v>20120828</v>
      </c>
      <c r="C913" s="83" t="s">
        <v>49</v>
      </c>
      <c r="D913" s="83" t="s">
        <v>7</v>
      </c>
      <c r="E913" s="82"/>
      <c r="F913" s="83">
        <v>1</v>
      </c>
      <c r="JA913" s="50"/>
      <c r="SW913" s="50"/>
      <c r="ACS913" s="50"/>
      <c r="AMO913" s="50"/>
      <c r="AWK913" s="50"/>
      <c r="BGG913" s="50"/>
      <c r="BQC913" s="50"/>
      <c r="BZY913" s="50"/>
      <c r="CJU913" s="50"/>
      <c r="CTQ913" s="50"/>
    </row>
    <row r="914" spans="1:6">
      <c r="A914" s="76" t="s">
        <v>237</v>
      </c>
      <c r="B914" s="83" t="str">
        <f>TEXT("20160209",REPT(0,8))</f>
        <v>20160209</v>
      </c>
      <c r="C914" s="83" t="s">
        <v>367</v>
      </c>
      <c r="D914" s="83" t="s">
        <v>7</v>
      </c>
      <c r="F914" s="83">
        <v>1</v>
      </c>
    </row>
    <row r="915" spans="1:6">
      <c r="A915" s="76" t="s">
        <v>237</v>
      </c>
      <c r="B915" s="83" t="str">
        <f>TEXT("20151480",REPT(0,8))</f>
        <v>20151480</v>
      </c>
      <c r="C915" s="83" t="s">
        <v>96</v>
      </c>
      <c r="D915" s="83" t="s">
        <v>7</v>
      </c>
      <c r="F915" s="83">
        <v>1</v>
      </c>
    </row>
    <row r="916" spans="1:6">
      <c r="A916" s="76" t="s">
        <v>237</v>
      </c>
      <c r="B916" s="83" t="str">
        <f>TEXT("20130418",REPT(0,8))</f>
        <v>20130418</v>
      </c>
      <c r="C916" s="83" t="s">
        <v>96</v>
      </c>
      <c r="D916" s="83" t="s">
        <v>7</v>
      </c>
      <c r="F916" s="83">
        <v>1</v>
      </c>
    </row>
    <row r="917" spans="1:6">
      <c r="A917" s="76" t="s">
        <v>237</v>
      </c>
      <c r="B917" s="83" t="str">
        <f>TEXT("20190334",REPT(0,8))</f>
        <v>20190334</v>
      </c>
      <c r="C917" s="83" t="s">
        <v>412</v>
      </c>
      <c r="D917" s="83" t="s">
        <v>7</v>
      </c>
      <c r="F917" s="83">
        <v>1</v>
      </c>
    </row>
    <row r="918" spans="1:6">
      <c r="A918" s="76" t="s">
        <v>237</v>
      </c>
      <c r="B918" s="83" t="str">
        <f>TEXT("20190341",REPT(0,8))</f>
        <v>20190341</v>
      </c>
      <c r="C918" s="83" t="s">
        <v>412</v>
      </c>
      <c r="D918" s="83" t="s">
        <v>7</v>
      </c>
      <c r="F918" s="83">
        <v>1</v>
      </c>
    </row>
    <row r="919" spans="1:6">
      <c r="A919" s="76" t="s">
        <v>237</v>
      </c>
      <c r="B919" s="83" t="str">
        <f>TEXT("20190342",REPT(0,8))</f>
        <v>20190342</v>
      </c>
      <c r="C919" s="83" t="s">
        <v>412</v>
      </c>
      <c r="D919" s="83" t="s">
        <v>7</v>
      </c>
      <c r="F919" s="83">
        <v>1</v>
      </c>
    </row>
    <row r="920" spans="1:6">
      <c r="A920" s="76" t="s">
        <v>237</v>
      </c>
      <c r="B920" s="83" t="str">
        <f>TEXT("20190343",REPT(0,8))</f>
        <v>20190343</v>
      </c>
      <c r="C920" s="83" t="s">
        <v>412</v>
      </c>
      <c r="D920" s="83" t="s">
        <v>7</v>
      </c>
      <c r="F920" s="83">
        <v>1</v>
      </c>
    </row>
    <row r="921" spans="1:6">
      <c r="A921" s="76" t="s">
        <v>237</v>
      </c>
      <c r="B921" s="83" t="str">
        <f>TEXT("20190318",REPT(0,8))</f>
        <v>20190318</v>
      </c>
      <c r="C921" s="83" t="s">
        <v>413</v>
      </c>
      <c r="D921" s="83" t="s">
        <v>7</v>
      </c>
      <c r="F921" s="83">
        <v>1</v>
      </c>
    </row>
    <row r="922" spans="1:6">
      <c r="A922" s="76" t="s">
        <v>237</v>
      </c>
      <c r="B922" s="83" t="str">
        <f>TEXT("20190319",REPT(0,8))</f>
        <v>20190319</v>
      </c>
      <c r="C922" s="83" t="s">
        <v>413</v>
      </c>
      <c r="D922" s="83" t="s">
        <v>7</v>
      </c>
      <c r="F922" s="83">
        <v>1</v>
      </c>
    </row>
    <row r="923" spans="1:6">
      <c r="A923" s="76" t="s">
        <v>237</v>
      </c>
      <c r="B923" s="83" t="str">
        <f>TEXT("20190320",REPT(0,8))</f>
        <v>20190320</v>
      </c>
      <c r="C923" s="83" t="s">
        <v>413</v>
      </c>
      <c r="D923" s="83" t="s">
        <v>7</v>
      </c>
      <c r="F923" s="83">
        <v>1</v>
      </c>
    </row>
    <row r="924" spans="1:6">
      <c r="A924" s="76" t="s">
        <v>237</v>
      </c>
      <c r="B924" s="83" t="str">
        <f>TEXT("20190321",REPT(0,8))</f>
        <v>20190321</v>
      </c>
      <c r="C924" s="83" t="s">
        <v>413</v>
      </c>
      <c r="D924" s="83" t="s">
        <v>7</v>
      </c>
      <c r="F924" s="83">
        <v>1</v>
      </c>
    </row>
    <row r="925" spans="1:6">
      <c r="A925" s="76" t="s">
        <v>237</v>
      </c>
      <c r="B925" s="83" t="str">
        <f>TEXT("20190322",REPT(0,8))</f>
        <v>20190322</v>
      </c>
      <c r="C925" s="83" t="s">
        <v>414</v>
      </c>
      <c r="D925" s="83" t="s">
        <v>7</v>
      </c>
      <c r="F925" s="83">
        <v>1</v>
      </c>
    </row>
    <row r="926" spans="1:6">
      <c r="A926" s="76" t="s">
        <v>237</v>
      </c>
      <c r="B926" s="83" t="str">
        <f>TEXT("20190323",REPT(0,8))</f>
        <v>20190323</v>
      </c>
      <c r="C926" s="83" t="s">
        <v>414</v>
      </c>
      <c r="D926" s="83" t="s">
        <v>7</v>
      </c>
      <c r="F926" s="83">
        <v>1</v>
      </c>
    </row>
    <row r="927" spans="1:6">
      <c r="A927" s="76" t="s">
        <v>237</v>
      </c>
      <c r="B927" s="83" t="str">
        <f>TEXT("20190324",REPT(0,8))</f>
        <v>20190324</v>
      </c>
      <c r="C927" s="83" t="s">
        <v>414</v>
      </c>
      <c r="D927" s="83" t="s">
        <v>7</v>
      </c>
      <c r="F927" s="83">
        <v>1</v>
      </c>
    </row>
    <row r="928" spans="1:6">
      <c r="A928" s="76" t="s">
        <v>237</v>
      </c>
      <c r="B928" s="83" t="str">
        <f>TEXT("20190325",REPT(0,8))</f>
        <v>20190325</v>
      </c>
      <c r="C928" s="83" t="s">
        <v>414</v>
      </c>
      <c r="D928" s="83" t="s">
        <v>7</v>
      </c>
      <c r="F928" s="83">
        <v>1</v>
      </c>
    </row>
    <row r="929" spans="1:6">
      <c r="A929" s="76" t="s">
        <v>237</v>
      </c>
      <c r="B929" s="83" t="str">
        <f>TEXT("20190326",REPT(0,8))</f>
        <v>20190326</v>
      </c>
      <c r="C929" s="83" t="s">
        <v>414</v>
      </c>
      <c r="D929" s="83" t="s">
        <v>7</v>
      </c>
      <c r="F929" s="83">
        <v>1</v>
      </c>
    </row>
    <row r="930" spans="1:6">
      <c r="A930" s="76" t="s">
        <v>237</v>
      </c>
      <c r="B930" s="83" t="str">
        <f>TEXT("20190327",REPT(0,8))</f>
        <v>20190327</v>
      </c>
      <c r="C930" s="83" t="s">
        <v>414</v>
      </c>
      <c r="D930" s="83" t="s">
        <v>7</v>
      </c>
      <c r="F930" s="83">
        <v>1</v>
      </c>
    </row>
    <row r="931" spans="1:6">
      <c r="A931" s="76" t="s">
        <v>237</v>
      </c>
      <c r="B931" s="83" t="str">
        <f>TEXT("20190328",REPT(0,8))</f>
        <v>20190328</v>
      </c>
      <c r="C931" s="83" t="s">
        <v>414</v>
      </c>
      <c r="D931" s="83" t="s">
        <v>7</v>
      </c>
      <c r="F931" s="83">
        <v>1</v>
      </c>
    </row>
    <row r="932" spans="1:6">
      <c r="A932" s="76" t="s">
        <v>237</v>
      </c>
      <c r="B932" s="83" t="str">
        <f>TEXT("20190329",REPT(0,8))</f>
        <v>20190329</v>
      </c>
      <c r="C932" s="83" t="s">
        <v>414</v>
      </c>
      <c r="D932" s="83" t="s">
        <v>7</v>
      </c>
      <c r="F932" s="83">
        <v>1</v>
      </c>
    </row>
    <row r="933" spans="1:6">
      <c r="A933" s="76" t="s">
        <v>237</v>
      </c>
      <c r="B933" s="83" t="str">
        <f>TEXT("20190330",REPT(0,8))</f>
        <v>20190330</v>
      </c>
      <c r="C933" s="83" t="s">
        <v>415</v>
      </c>
      <c r="D933" s="83" t="s">
        <v>7</v>
      </c>
      <c r="F933" s="83">
        <v>1</v>
      </c>
    </row>
    <row r="934" spans="1:6">
      <c r="A934" s="76" t="s">
        <v>237</v>
      </c>
      <c r="B934" s="83" t="str">
        <f>TEXT("20190331",REPT(0,8))</f>
        <v>20190331</v>
      </c>
      <c r="C934" s="83" t="s">
        <v>415</v>
      </c>
      <c r="D934" s="83" t="s">
        <v>7</v>
      </c>
      <c r="F934" s="83">
        <v>1</v>
      </c>
    </row>
    <row r="935" spans="1:6">
      <c r="A935" s="76" t="s">
        <v>237</v>
      </c>
      <c r="B935" s="83" t="str">
        <f>TEXT("20190332",REPT(0,8))</f>
        <v>20190332</v>
      </c>
      <c r="C935" s="83" t="s">
        <v>415</v>
      </c>
      <c r="D935" s="83" t="s">
        <v>7</v>
      </c>
      <c r="F935" s="83">
        <v>1</v>
      </c>
    </row>
    <row r="936" spans="1:6">
      <c r="A936" s="76" t="s">
        <v>237</v>
      </c>
      <c r="B936" s="83" t="str">
        <f>TEXT("20190333",REPT(0,8))</f>
        <v>20190333</v>
      </c>
      <c r="C936" s="83" t="s">
        <v>415</v>
      </c>
      <c r="D936" s="83" t="s">
        <v>7</v>
      </c>
      <c r="F936" s="83">
        <v>1</v>
      </c>
    </row>
    <row r="937" spans="1:6">
      <c r="A937" s="76" t="s">
        <v>237</v>
      </c>
      <c r="B937" s="83" t="str">
        <f>TEXT("20190335",REPT(0,8))</f>
        <v>20190335</v>
      </c>
      <c r="C937" s="83" t="s">
        <v>416</v>
      </c>
      <c r="D937" s="83" t="s">
        <v>7</v>
      </c>
      <c r="F937" s="83">
        <v>1</v>
      </c>
    </row>
    <row r="938" spans="1:6">
      <c r="A938" s="76" t="s">
        <v>237</v>
      </c>
      <c r="B938" s="83" t="str">
        <f>TEXT("20190336",REPT(0,8))</f>
        <v>20190336</v>
      </c>
      <c r="C938" s="83" t="s">
        <v>416</v>
      </c>
      <c r="D938" s="83" t="s">
        <v>7</v>
      </c>
      <c r="F938" s="83">
        <v>1</v>
      </c>
    </row>
    <row r="939" spans="1:6">
      <c r="A939" s="76" t="s">
        <v>237</v>
      </c>
      <c r="B939" s="83" t="str">
        <f>TEXT("20190337",REPT(0,8))</f>
        <v>20190337</v>
      </c>
      <c r="C939" s="83" t="s">
        <v>416</v>
      </c>
      <c r="D939" s="83" t="s">
        <v>7</v>
      </c>
      <c r="F939" s="83">
        <v>1</v>
      </c>
    </row>
    <row r="940" spans="1:6">
      <c r="A940" s="76" t="s">
        <v>237</v>
      </c>
      <c r="B940" s="83" t="str">
        <f>TEXT("20190338",REPT(0,8))</f>
        <v>20190338</v>
      </c>
      <c r="C940" s="83" t="s">
        <v>416</v>
      </c>
      <c r="D940" s="83" t="s">
        <v>7</v>
      </c>
      <c r="F940" s="83">
        <v>1</v>
      </c>
    </row>
    <row r="941" spans="1:6">
      <c r="A941" s="76" t="s">
        <v>237</v>
      </c>
      <c r="B941" s="83" t="str">
        <f>TEXT("20190339",REPT(0,8))</f>
        <v>20190339</v>
      </c>
      <c r="C941" s="83" t="s">
        <v>416</v>
      </c>
      <c r="D941" s="83" t="s">
        <v>7</v>
      </c>
      <c r="F941" s="83">
        <v>1</v>
      </c>
    </row>
    <row r="942" spans="1:6">
      <c r="A942" s="76" t="s">
        <v>237</v>
      </c>
      <c r="B942" s="83" t="str">
        <f>TEXT("20190340",REPT(0,8))</f>
        <v>20190340</v>
      </c>
      <c r="C942" s="83" t="s">
        <v>417</v>
      </c>
      <c r="D942" s="83" t="s">
        <v>7</v>
      </c>
      <c r="F942" s="83">
        <v>1</v>
      </c>
    </row>
    <row r="943" spans="1:6">
      <c r="A943" s="76" t="s">
        <v>237</v>
      </c>
      <c r="B943" s="83" t="str">
        <f>TEXT("20120945",REPT(0,8))</f>
        <v>20120945</v>
      </c>
      <c r="C943" s="83" t="s">
        <v>96</v>
      </c>
      <c r="D943" s="83" t="s">
        <v>7</v>
      </c>
      <c r="F943" s="83">
        <v>1</v>
      </c>
    </row>
    <row r="944" spans="1:6">
      <c r="A944" s="76" t="s">
        <v>237</v>
      </c>
      <c r="B944" s="83" t="str">
        <f>TEXT("20130054",REPT(0,8))</f>
        <v>20130054</v>
      </c>
      <c r="C944" s="83" t="s">
        <v>96</v>
      </c>
      <c r="D944" s="83" t="s">
        <v>7</v>
      </c>
      <c r="F944" s="83">
        <v>1</v>
      </c>
    </row>
    <row r="945" spans="1:6">
      <c r="A945" s="76" t="s">
        <v>237</v>
      </c>
      <c r="B945" s="83" t="str">
        <f>TEXT("20130056",REPT(0,8))</f>
        <v>20130056</v>
      </c>
      <c r="C945" s="83" t="s">
        <v>96</v>
      </c>
      <c r="D945" s="83" t="s">
        <v>7</v>
      </c>
      <c r="F945" s="83">
        <v>1</v>
      </c>
    </row>
    <row r="946" spans="1:6">
      <c r="A946" s="76" t="s">
        <v>237</v>
      </c>
      <c r="B946" s="83" t="str">
        <f>TEXT("20130057",REPT(0,8))</f>
        <v>20130057</v>
      </c>
      <c r="C946" s="83" t="s">
        <v>96</v>
      </c>
      <c r="D946" s="83" t="s">
        <v>7</v>
      </c>
      <c r="F946" s="83">
        <v>1</v>
      </c>
    </row>
    <row r="947" spans="1:6">
      <c r="A947" s="76" t="s">
        <v>237</v>
      </c>
      <c r="B947" s="83" t="str">
        <f>TEXT("20130058",REPT(0,8))</f>
        <v>20130058</v>
      </c>
      <c r="C947" s="83" t="s">
        <v>96</v>
      </c>
      <c r="D947" s="83" t="s">
        <v>7</v>
      </c>
      <c r="F947" s="83">
        <v>1</v>
      </c>
    </row>
    <row r="948" spans="1:6">
      <c r="A948" s="76" t="s">
        <v>237</v>
      </c>
      <c r="B948" s="83" t="str">
        <f>TEXT("20130059",REPT(0,8))</f>
        <v>20130059</v>
      </c>
      <c r="C948" s="83" t="s">
        <v>96</v>
      </c>
      <c r="D948" s="83" t="s">
        <v>7</v>
      </c>
      <c r="F948" s="83">
        <v>1</v>
      </c>
    </row>
    <row r="949" spans="1:6">
      <c r="A949" s="76" t="s">
        <v>237</v>
      </c>
      <c r="B949" s="83" t="str">
        <f>TEXT("20130060",REPT(0,8))</f>
        <v>20130060</v>
      </c>
      <c r="C949" s="83" t="s">
        <v>96</v>
      </c>
      <c r="D949" s="83" t="s">
        <v>7</v>
      </c>
      <c r="F949" s="83">
        <v>1</v>
      </c>
    </row>
    <row r="950" spans="1:6">
      <c r="A950" s="76" t="s">
        <v>237</v>
      </c>
      <c r="B950" s="83" t="str">
        <f>TEXT("20130061",REPT(0,8))</f>
        <v>20130061</v>
      </c>
      <c r="C950" s="83" t="s">
        <v>96</v>
      </c>
      <c r="D950" s="83" t="s">
        <v>7</v>
      </c>
      <c r="F950" s="83">
        <v>1</v>
      </c>
    </row>
    <row r="951" spans="1:6">
      <c r="A951" s="76" t="s">
        <v>237</v>
      </c>
      <c r="B951" s="83" t="str">
        <f>TEXT("20130062",REPT(0,8))</f>
        <v>20130062</v>
      </c>
      <c r="C951" s="83" t="s">
        <v>96</v>
      </c>
      <c r="D951" s="83" t="s">
        <v>7</v>
      </c>
      <c r="F951" s="83">
        <v>1</v>
      </c>
    </row>
    <row r="952" spans="1:6">
      <c r="A952" s="76" t="s">
        <v>237</v>
      </c>
      <c r="B952" s="83" t="str">
        <f>TEXT("20130063",REPT(0,8))</f>
        <v>20130063</v>
      </c>
      <c r="C952" s="83" t="s">
        <v>96</v>
      </c>
      <c r="D952" s="83" t="s">
        <v>7</v>
      </c>
      <c r="F952" s="83">
        <v>1</v>
      </c>
    </row>
    <row r="953" spans="1:6">
      <c r="A953" s="76" t="s">
        <v>237</v>
      </c>
      <c r="B953" s="83" t="str">
        <f>TEXT("20130064",REPT(0,8))</f>
        <v>20130064</v>
      </c>
      <c r="C953" s="83" t="s">
        <v>96</v>
      </c>
      <c r="D953" s="83" t="s">
        <v>7</v>
      </c>
      <c r="F953" s="83">
        <v>1</v>
      </c>
    </row>
    <row r="954" spans="1:6">
      <c r="A954" s="76" t="s">
        <v>237</v>
      </c>
      <c r="B954" s="83" t="str">
        <f>TEXT("20130065",REPT(0,8))</f>
        <v>20130065</v>
      </c>
      <c r="C954" s="83" t="s">
        <v>96</v>
      </c>
      <c r="D954" s="83" t="s">
        <v>7</v>
      </c>
      <c r="F954" s="83">
        <v>1</v>
      </c>
    </row>
    <row r="955" spans="1:6">
      <c r="A955" s="76" t="s">
        <v>237</v>
      </c>
      <c r="B955" s="83" t="str">
        <f>TEXT("20130066",REPT(0,8))</f>
        <v>20130066</v>
      </c>
      <c r="C955" s="83" t="s">
        <v>96</v>
      </c>
      <c r="D955" s="83" t="s">
        <v>7</v>
      </c>
      <c r="F955" s="83">
        <v>1</v>
      </c>
    </row>
    <row r="956" spans="1:6">
      <c r="A956" s="76" t="s">
        <v>237</v>
      </c>
      <c r="B956" s="83" t="str">
        <f>TEXT("20130067",REPT(0,8))</f>
        <v>20130067</v>
      </c>
      <c r="C956" s="83" t="s">
        <v>96</v>
      </c>
      <c r="D956" s="83" t="s">
        <v>7</v>
      </c>
      <c r="F956" s="83">
        <v>1</v>
      </c>
    </row>
    <row r="957" spans="1:6">
      <c r="A957" s="76" t="s">
        <v>237</v>
      </c>
      <c r="B957" s="83" t="str">
        <f>TEXT("20130069",REPT(0,8))</f>
        <v>20130069</v>
      </c>
      <c r="C957" s="83" t="s">
        <v>96</v>
      </c>
      <c r="D957" s="83" t="s">
        <v>7</v>
      </c>
      <c r="F957" s="83">
        <v>1</v>
      </c>
    </row>
    <row r="958" spans="1:6">
      <c r="A958" s="76" t="s">
        <v>237</v>
      </c>
      <c r="B958" s="83" t="str">
        <f>TEXT("20130071",REPT(0,8))</f>
        <v>20130071</v>
      </c>
      <c r="C958" s="83" t="s">
        <v>96</v>
      </c>
      <c r="D958" s="83" t="s">
        <v>7</v>
      </c>
      <c r="F958" s="83">
        <v>1</v>
      </c>
    </row>
    <row r="959" s="50" customFormat="1" spans="1:6">
      <c r="A959" s="76" t="s">
        <v>237</v>
      </c>
      <c r="B959" s="73" t="str">
        <f>TEXT("20040406",REPT(0,8))</f>
        <v>20040406</v>
      </c>
      <c r="C959" s="73" t="s">
        <v>418</v>
      </c>
      <c r="D959" s="72" t="s">
        <v>7</v>
      </c>
      <c r="E959" s="82"/>
      <c r="F959" s="83">
        <v>1</v>
      </c>
    </row>
    <row r="960" s="50" customFormat="1" spans="1:6">
      <c r="A960" s="76" t="s">
        <v>237</v>
      </c>
      <c r="B960" s="73" t="str">
        <f>TEXT("20040407",REPT(0,8))</f>
        <v>20040407</v>
      </c>
      <c r="C960" s="73" t="s">
        <v>418</v>
      </c>
      <c r="D960" s="72" t="s">
        <v>7</v>
      </c>
      <c r="E960" s="82"/>
      <c r="F960" s="83">
        <v>1</v>
      </c>
    </row>
    <row r="961" s="50" customFormat="1" spans="1:6">
      <c r="A961" s="76" t="s">
        <v>237</v>
      </c>
      <c r="B961" s="73" t="str">
        <f>TEXT("20051849",REPT(0,8))</f>
        <v>20051849</v>
      </c>
      <c r="C961" s="73" t="s">
        <v>419</v>
      </c>
      <c r="D961" s="72" t="s">
        <v>7</v>
      </c>
      <c r="E961" s="82"/>
      <c r="F961" s="83">
        <v>1</v>
      </c>
    </row>
    <row r="962" s="50" customFormat="1" spans="1:6">
      <c r="A962" s="76" t="s">
        <v>237</v>
      </c>
      <c r="B962" s="73" t="str">
        <f>TEXT("20051850",REPT(0,8))</f>
        <v>20051850</v>
      </c>
      <c r="C962" s="73" t="s">
        <v>419</v>
      </c>
      <c r="D962" s="72" t="s">
        <v>7</v>
      </c>
      <c r="E962" s="82"/>
      <c r="F962" s="83">
        <v>1</v>
      </c>
    </row>
    <row r="963" s="50" customFormat="1" spans="1:6">
      <c r="A963" s="76" t="s">
        <v>237</v>
      </c>
      <c r="B963" s="73" t="str">
        <f>TEXT("20130044",REPT(0,8))</f>
        <v>20130044</v>
      </c>
      <c r="C963" s="73" t="s">
        <v>420</v>
      </c>
      <c r="D963" s="72" t="s">
        <v>7</v>
      </c>
      <c r="E963" s="82"/>
      <c r="F963" s="83">
        <v>1</v>
      </c>
    </row>
    <row r="964" s="76" customFormat="1" spans="1:2565">
      <c r="A964" s="76" t="s">
        <v>237</v>
      </c>
      <c r="B964" s="83" t="str">
        <f>TEXT("20120779",REPT(0,8))</f>
        <v>20120779</v>
      </c>
      <c r="C964" s="83" t="s">
        <v>49</v>
      </c>
      <c r="D964" s="83" t="s">
        <v>7</v>
      </c>
      <c r="E964" s="82"/>
      <c r="F964" s="83">
        <v>1</v>
      </c>
      <c r="JA964" s="50"/>
      <c r="SW964" s="50"/>
      <c r="ACS964" s="50"/>
      <c r="AMO964" s="50"/>
      <c r="AWK964" s="50"/>
      <c r="BGG964" s="50"/>
      <c r="BQC964" s="50"/>
      <c r="BZY964" s="50"/>
      <c r="CJU964" s="50"/>
      <c r="CTQ964" s="50"/>
    </row>
    <row r="965" s="50" customFormat="1" spans="1:6">
      <c r="A965" s="76" t="s">
        <v>237</v>
      </c>
      <c r="B965" s="73" t="str">
        <f>TEXT("20130001",REPT(0,8))</f>
        <v>20130001</v>
      </c>
      <c r="C965" s="73" t="s">
        <v>421</v>
      </c>
      <c r="D965" s="72" t="s">
        <v>7</v>
      </c>
      <c r="E965" s="82" t="s">
        <v>422</v>
      </c>
      <c r="F965" s="83">
        <v>1</v>
      </c>
    </row>
    <row r="966" s="50" customFormat="1" spans="1:6">
      <c r="A966" s="76" t="s">
        <v>237</v>
      </c>
      <c r="B966" s="73" t="str">
        <f>TEXT("20130002",REPT(0,8))</f>
        <v>20130002</v>
      </c>
      <c r="C966" s="73" t="s">
        <v>421</v>
      </c>
      <c r="D966" s="72" t="s">
        <v>7</v>
      </c>
      <c r="E966" s="82" t="s">
        <v>422</v>
      </c>
      <c r="F966" s="83">
        <v>1</v>
      </c>
    </row>
    <row r="967" s="50" customFormat="1" spans="1:6">
      <c r="A967" s="76" t="s">
        <v>237</v>
      </c>
      <c r="B967" s="73" t="str">
        <f>TEXT("20130003",REPT(0,8))</f>
        <v>20130003</v>
      </c>
      <c r="C967" s="73" t="s">
        <v>421</v>
      </c>
      <c r="D967" s="72" t="s">
        <v>7</v>
      </c>
      <c r="E967" s="82" t="s">
        <v>422</v>
      </c>
      <c r="F967" s="83">
        <v>1</v>
      </c>
    </row>
    <row r="968" s="50" customFormat="1" spans="1:6">
      <c r="A968" s="76" t="s">
        <v>237</v>
      </c>
      <c r="B968" s="73" t="str">
        <f>TEXT("20130004",REPT(0,8))</f>
        <v>20130004</v>
      </c>
      <c r="C968" s="73" t="s">
        <v>421</v>
      </c>
      <c r="D968" s="72" t="s">
        <v>7</v>
      </c>
      <c r="E968" s="82" t="s">
        <v>422</v>
      </c>
      <c r="F968" s="83">
        <v>1</v>
      </c>
    </row>
    <row r="969" s="50" customFormat="1" spans="1:6">
      <c r="A969" s="76" t="s">
        <v>237</v>
      </c>
      <c r="B969" s="73" t="str">
        <f>TEXT("20130005",REPT(0,8))</f>
        <v>20130005</v>
      </c>
      <c r="C969" s="73" t="s">
        <v>421</v>
      </c>
      <c r="D969" s="72" t="s">
        <v>7</v>
      </c>
      <c r="E969" s="82" t="s">
        <v>422</v>
      </c>
      <c r="F969" s="83">
        <v>1</v>
      </c>
    </row>
    <row r="970" s="50" customFormat="1" spans="1:6">
      <c r="A970" s="76" t="s">
        <v>237</v>
      </c>
      <c r="B970" s="73" t="str">
        <f>TEXT("20130006",REPT(0,8))</f>
        <v>20130006</v>
      </c>
      <c r="C970" s="73" t="s">
        <v>421</v>
      </c>
      <c r="D970" s="72" t="s">
        <v>7</v>
      </c>
      <c r="E970" s="82" t="s">
        <v>422</v>
      </c>
      <c r="F970" s="83">
        <v>1</v>
      </c>
    </row>
    <row r="971" s="50" customFormat="1" spans="1:6">
      <c r="A971" s="76" t="s">
        <v>237</v>
      </c>
      <c r="B971" s="73" t="str">
        <f>TEXT("20130007",REPT(0,8))</f>
        <v>20130007</v>
      </c>
      <c r="C971" s="73" t="s">
        <v>423</v>
      </c>
      <c r="D971" s="72" t="s">
        <v>7</v>
      </c>
      <c r="E971" s="82" t="s">
        <v>422</v>
      </c>
      <c r="F971" s="83">
        <v>1</v>
      </c>
    </row>
    <row r="972" s="50" customFormat="1" spans="1:6">
      <c r="A972" s="76" t="s">
        <v>237</v>
      </c>
      <c r="B972" s="73" t="str">
        <f>TEXT("20130008",REPT(0,8))</f>
        <v>20130008</v>
      </c>
      <c r="C972" s="73" t="s">
        <v>423</v>
      </c>
      <c r="D972" s="72" t="s">
        <v>7</v>
      </c>
      <c r="E972" s="82" t="s">
        <v>422</v>
      </c>
      <c r="F972" s="83">
        <v>1</v>
      </c>
    </row>
    <row r="973" s="50" customFormat="1" spans="1:6">
      <c r="A973" s="76" t="s">
        <v>237</v>
      </c>
      <c r="B973" s="73" t="str">
        <f>TEXT("20130009",REPT(0,8))</f>
        <v>20130009</v>
      </c>
      <c r="C973" s="73" t="s">
        <v>423</v>
      </c>
      <c r="D973" s="72" t="s">
        <v>7</v>
      </c>
      <c r="E973" s="82" t="s">
        <v>422</v>
      </c>
      <c r="F973" s="83">
        <v>1</v>
      </c>
    </row>
    <row r="974" s="50" customFormat="1" spans="1:6">
      <c r="A974" s="76" t="s">
        <v>237</v>
      </c>
      <c r="B974" s="73" t="str">
        <f>TEXT("20130010",REPT(0,8))</f>
        <v>20130010</v>
      </c>
      <c r="C974" s="73" t="s">
        <v>423</v>
      </c>
      <c r="D974" s="72" t="s">
        <v>7</v>
      </c>
      <c r="E974" s="82" t="s">
        <v>422</v>
      </c>
      <c r="F974" s="83">
        <v>1</v>
      </c>
    </row>
    <row r="975" s="50" customFormat="1" spans="1:6">
      <c r="A975" s="76" t="s">
        <v>237</v>
      </c>
      <c r="B975" s="73" t="str">
        <f>TEXT("20130011",REPT(0,8))</f>
        <v>20130011</v>
      </c>
      <c r="C975" s="73" t="s">
        <v>423</v>
      </c>
      <c r="D975" s="72" t="s">
        <v>7</v>
      </c>
      <c r="E975" s="82" t="s">
        <v>422</v>
      </c>
      <c r="F975" s="83">
        <v>1</v>
      </c>
    </row>
    <row r="976" s="50" customFormat="1" spans="1:6">
      <c r="A976" s="76" t="s">
        <v>237</v>
      </c>
      <c r="B976" s="73" t="str">
        <f>TEXT("20130012",REPT(0,8))</f>
        <v>20130012</v>
      </c>
      <c r="C976" s="73" t="s">
        <v>423</v>
      </c>
      <c r="D976" s="72" t="s">
        <v>7</v>
      </c>
      <c r="E976" s="82" t="s">
        <v>422</v>
      </c>
      <c r="F976" s="83">
        <v>1</v>
      </c>
    </row>
    <row r="977" s="50" customFormat="1" spans="1:6">
      <c r="A977" s="76" t="s">
        <v>237</v>
      </c>
      <c r="B977" s="73" t="str">
        <f>TEXT("20130013",REPT(0,8))</f>
        <v>20130013</v>
      </c>
      <c r="C977" s="73" t="s">
        <v>96</v>
      </c>
      <c r="D977" s="72" t="s">
        <v>7</v>
      </c>
      <c r="E977" s="82" t="s">
        <v>422</v>
      </c>
      <c r="F977" s="83">
        <v>1</v>
      </c>
    </row>
    <row r="978" s="50" customFormat="1" spans="1:6">
      <c r="A978" s="76" t="s">
        <v>237</v>
      </c>
      <c r="B978" s="73" t="str">
        <f>TEXT("20130014",REPT(0,8))</f>
        <v>20130014</v>
      </c>
      <c r="C978" s="73" t="s">
        <v>96</v>
      </c>
      <c r="D978" s="72" t="s">
        <v>7</v>
      </c>
      <c r="E978" s="82" t="s">
        <v>422</v>
      </c>
      <c r="F978" s="83">
        <v>1</v>
      </c>
    </row>
    <row r="979" s="50" customFormat="1" spans="1:6">
      <c r="A979" s="76" t="s">
        <v>237</v>
      </c>
      <c r="B979" s="73" t="str">
        <f>TEXT("20130015",REPT(0,8))</f>
        <v>20130015</v>
      </c>
      <c r="C979" s="73" t="s">
        <v>96</v>
      </c>
      <c r="D979" s="72" t="s">
        <v>7</v>
      </c>
      <c r="E979" s="82" t="s">
        <v>422</v>
      </c>
      <c r="F979" s="83">
        <v>1</v>
      </c>
    </row>
    <row r="980" s="50" customFormat="1" spans="1:6">
      <c r="A980" s="76" t="s">
        <v>237</v>
      </c>
      <c r="B980" s="73" t="str">
        <f>TEXT("20130016",REPT(0,8))</f>
        <v>20130016</v>
      </c>
      <c r="C980" s="73" t="s">
        <v>96</v>
      </c>
      <c r="D980" s="72" t="s">
        <v>7</v>
      </c>
      <c r="E980" s="82" t="s">
        <v>422</v>
      </c>
      <c r="F980" s="83">
        <v>1</v>
      </c>
    </row>
    <row r="981" s="50" customFormat="1" spans="1:6">
      <c r="A981" s="76" t="s">
        <v>237</v>
      </c>
      <c r="B981" s="73" t="str">
        <f>TEXT("20130017",REPT(0,8))</f>
        <v>20130017</v>
      </c>
      <c r="C981" s="73" t="s">
        <v>96</v>
      </c>
      <c r="D981" s="72" t="s">
        <v>7</v>
      </c>
      <c r="E981" s="82" t="s">
        <v>422</v>
      </c>
      <c r="F981" s="83">
        <v>1</v>
      </c>
    </row>
    <row r="982" s="50" customFormat="1" spans="1:6">
      <c r="A982" s="76" t="s">
        <v>237</v>
      </c>
      <c r="B982" s="73" t="str">
        <f>TEXT("20130018",REPT(0,8))</f>
        <v>20130018</v>
      </c>
      <c r="C982" s="73" t="s">
        <v>96</v>
      </c>
      <c r="D982" s="72" t="s">
        <v>7</v>
      </c>
      <c r="E982" s="82" t="s">
        <v>422</v>
      </c>
      <c r="F982" s="83">
        <v>1</v>
      </c>
    </row>
    <row r="983" s="76" customFormat="1" spans="1:2565">
      <c r="A983" s="76" t="s">
        <v>237</v>
      </c>
      <c r="B983" s="83" t="str">
        <f>TEXT("20120780",REPT(0,8))</f>
        <v>20120780</v>
      </c>
      <c r="C983" s="83" t="s">
        <v>49</v>
      </c>
      <c r="D983" s="83" t="s">
        <v>7</v>
      </c>
      <c r="E983" s="82"/>
      <c r="F983" s="83">
        <v>1</v>
      </c>
      <c r="JA983" s="50"/>
      <c r="SW983" s="50"/>
      <c r="ACS983" s="50"/>
      <c r="AMO983" s="50"/>
      <c r="AWK983" s="50"/>
      <c r="BGG983" s="50"/>
      <c r="BQC983" s="50"/>
      <c r="BZY983" s="50"/>
      <c r="CJU983" s="50"/>
      <c r="CTQ983" s="50"/>
    </row>
    <row r="984" spans="1:6">
      <c r="A984" s="76" t="s">
        <v>237</v>
      </c>
      <c r="B984" s="83" t="str">
        <f>TEXT("20130100",REPT(0,8))</f>
        <v>20130100</v>
      </c>
      <c r="C984" s="83" t="s">
        <v>364</v>
      </c>
      <c r="D984" s="83" t="s">
        <v>7</v>
      </c>
      <c r="F984" s="83">
        <v>1</v>
      </c>
    </row>
    <row r="985" spans="1:6">
      <c r="A985" s="76" t="s">
        <v>237</v>
      </c>
      <c r="B985" s="83" t="str">
        <f>TEXT("20220373",REPT(0,8))</f>
        <v>20220373</v>
      </c>
      <c r="C985" s="83" t="s">
        <v>424</v>
      </c>
      <c r="D985" s="83" t="s">
        <v>7</v>
      </c>
      <c r="F985" s="83">
        <v>1</v>
      </c>
    </row>
    <row r="986" spans="1:6">
      <c r="A986" s="76" t="s">
        <v>237</v>
      </c>
      <c r="B986" s="83" t="str">
        <f>TEXT("20220374",REPT(0,8))</f>
        <v>20220374</v>
      </c>
      <c r="C986" s="83" t="s">
        <v>424</v>
      </c>
      <c r="D986" s="83" t="s">
        <v>7</v>
      </c>
      <c r="F986" s="83">
        <v>1</v>
      </c>
    </row>
    <row r="987" spans="1:6">
      <c r="A987" s="76" t="s">
        <v>237</v>
      </c>
      <c r="B987" s="83" t="str">
        <f>TEXT("20220375",REPT(0,8))</f>
        <v>20220375</v>
      </c>
      <c r="C987" s="83" t="s">
        <v>424</v>
      </c>
      <c r="D987" s="83" t="s">
        <v>7</v>
      </c>
      <c r="F987" s="83">
        <v>1</v>
      </c>
    </row>
    <row r="988" spans="1:6">
      <c r="A988" s="76" t="s">
        <v>237</v>
      </c>
      <c r="B988" s="83" t="str">
        <f>TEXT("20220376",REPT(0,8))</f>
        <v>20220376</v>
      </c>
      <c r="C988" s="83" t="s">
        <v>424</v>
      </c>
      <c r="D988" s="83" t="s">
        <v>7</v>
      </c>
      <c r="F988" s="83">
        <v>1</v>
      </c>
    </row>
    <row r="989" spans="1:6">
      <c r="A989" s="76" t="s">
        <v>237</v>
      </c>
      <c r="B989" s="83" t="str">
        <f>TEXT("20220377",REPT(0,8))</f>
        <v>20220377</v>
      </c>
      <c r="C989" s="83" t="s">
        <v>424</v>
      </c>
      <c r="D989" s="83" t="s">
        <v>7</v>
      </c>
      <c r="F989" s="83">
        <v>1</v>
      </c>
    </row>
    <row r="990" spans="1:6">
      <c r="A990" s="76" t="s">
        <v>237</v>
      </c>
      <c r="B990" s="83" t="str">
        <f>TEXT("20220378",REPT(0,8))</f>
        <v>20220378</v>
      </c>
      <c r="C990" s="83" t="s">
        <v>425</v>
      </c>
      <c r="D990" s="83" t="s">
        <v>7</v>
      </c>
      <c r="F990" s="83">
        <v>1</v>
      </c>
    </row>
    <row r="991" spans="1:6">
      <c r="A991" s="76" t="s">
        <v>237</v>
      </c>
      <c r="B991" s="83" t="str">
        <f>TEXT("20220930",REPT(0,8))</f>
        <v>20220930</v>
      </c>
      <c r="C991" s="83" t="s">
        <v>96</v>
      </c>
      <c r="D991" s="83" t="s">
        <v>7</v>
      </c>
      <c r="F991" s="83">
        <v>1</v>
      </c>
    </row>
    <row r="992" spans="1:6">
      <c r="A992" s="76" t="s">
        <v>237</v>
      </c>
      <c r="B992" s="83" t="str">
        <f>TEXT("20220931",REPT(0,8))</f>
        <v>20220931</v>
      </c>
      <c r="C992" s="83" t="s">
        <v>96</v>
      </c>
      <c r="D992" s="83" t="s">
        <v>7</v>
      </c>
      <c r="F992" s="83">
        <v>1</v>
      </c>
    </row>
    <row r="993" spans="1:6">
      <c r="A993" s="76" t="s">
        <v>237</v>
      </c>
      <c r="B993" s="83" t="str">
        <f>TEXT("20220932",REPT(0,8))</f>
        <v>20220932</v>
      </c>
      <c r="C993" s="83" t="s">
        <v>96</v>
      </c>
      <c r="D993" s="83" t="s">
        <v>7</v>
      </c>
      <c r="F993" s="83">
        <v>1</v>
      </c>
    </row>
    <row r="994" spans="1:6">
      <c r="A994" s="76" t="s">
        <v>237</v>
      </c>
      <c r="B994" s="83" t="str">
        <f>TEXT("20220933",REPT(0,8))</f>
        <v>20220933</v>
      </c>
      <c r="C994" s="83" t="s">
        <v>96</v>
      </c>
      <c r="D994" s="83" t="s">
        <v>7</v>
      </c>
      <c r="F994" s="83">
        <v>1</v>
      </c>
    </row>
    <row r="995" spans="1:6">
      <c r="A995" s="76" t="s">
        <v>237</v>
      </c>
      <c r="B995" s="83" t="str">
        <f>TEXT("20220934",REPT(0,8))</f>
        <v>20220934</v>
      </c>
      <c r="C995" s="83" t="s">
        <v>96</v>
      </c>
      <c r="D995" s="83" t="s">
        <v>7</v>
      </c>
      <c r="F995" s="83">
        <v>1</v>
      </c>
    </row>
    <row r="996" spans="1:6">
      <c r="A996" s="76" t="s">
        <v>237</v>
      </c>
      <c r="B996" s="83" t="str">
        <f>TEXT("20220935",REPT(0,8))</f>
        <v>20220935</v>
      </c>
      <c r="C996" s="83" t="s">
        <v>96</v>
      </c>
      <c r="D996" s="83" t="s">
        <v>7</v>
      </c>
      <c r="F996" s="83">
        <v>1</v>
      </c>
    </row>
    <row r="997" spans="1:6">
      <c r="A997" s="76" t="s">
        <v>237</v>
      </c>
      <c r="B997" s="83" t="str">
        <f>TEXT("20220936",REPT(0,8))</f>
        <v>20220936</v>
      </c>
      <c r="C997" s="83" t="s">
        <v>96</v>
      </c>
      <c r="D997" s="83" t="s">
        <v>7</v>
      </c>
      <c r="F997" s="83">
        <v>1</v>
      </c>
    </row>
    <row r="998" spans="1:6">
      <c r="A998" s="76" t="s">
        <v>237</v>
      </c>
      <c r="B998" s="83" t="str">
        <f>TEXT("20220937",REPT(0,8))</f>
        <v>20220937</v>
      </c>
      <c r="C998" s="83" t="s">
        <v>96</v>
      </c>
      <c r="D998" s="83" t="s">
        <v>7</v>
      </c>
      <c r="F998" s="83">
        <v>1</v>
      </c>
    </row>
    <row r="999" spans="1:6">
      <c r="A999" s="76" t="s">
        <v>237</v>
      </c>
      <c r="B999" s="83" t="str">
        <f>TEXT("20220938",REPT(0,8))</f>
        <v>20220938</v>
      </c>
      <c r="C999" s="83" t="s">
        <v>96</v>
      </c>
      <c r="D999" s="83" t="s">
        <v>7</v>
      </c>
      <c r="F999" s="83">
        <v>1</v>
      </c>
    </row>
    <row r="1000" spans="1:6">
      <c r="A1000" s="76" t="s">
        <v>237</v>
      </c>
      <c r="B1000" s="83" t="str">
        <f>TEXT("20220939",REPT(0,8))</f>
        <v>20220939</v>
      </c>
      <c r="C1000" s="83" t="s">
        <v>96</v>
      </c>
      <c r="D1000" s="83" t="s">
        <v>7</v>
      </c>
      <c r="F1000" s="83">
        <v>1</v>
      </c>
    </row>
    <row r="1001" spans="1:6">
      <c r="A1001" s="76" t="s">
        <v>237</v>
      </c>
      <c r="B1001" s="83" t="str">
        <f>TEXT("20220940",REPT(0,8))</f>
        <v>20220940</v>
      </c>
      <c r="C1001" s="83" t="s">
        <v>35</v>
      </c>
      <c r="D1001" s="83" t="s">
        <v>7</v>
      </c>
      <c r="F1001" s="83">
        <v>1</v>
      </c>
    </row>
    <row r="1002" s="50" customFormat="1" spans="1:6">
      <c r="A1002" s="76" t="s">
        <v>237</v>
      </c>
      <c r="B1002" s="73" t="str">
        <f>TEXT("20120171",REPT(0,8))</f>
        <v>20120171</v>
      </c>
      <c r="C1002" s="73" t="s">
        <v>426</v>
      </c>
      <c r="D1002" s="72" t="s">
        <v>7</v>
      </c>
      <c r="E1002" s="82"/>
      <c r="F1002" s="83">
        <v>1</v>
      </c>
    </row>
    <row r="1003" s="50" customFormat="1" spans="1:6">
      <c r="A1003" s="76" t="s">
        <v>237</v>
      </c>
      <c r="B1003" s="73" t="str">
        <f>TEXT("20120172",REPT(0,8))</f>
        <v>20120172</v>
      </c>
      <c r="C1003" s="73" t="s">
        <v>426</v>
      </c>
      <c r="D1003" s="72" t="s">
        <v>7</v>
      </c>
      <c r="E1003" s="82"/>
      <c r="F1003" s="83">
        <v>1</v>
      </c>
    </row>
    <row r="1004" s="50" customFormat="1" spans="1:6">
      <c r="A1004" s="76" t="s">
        <v>237</v>
      </c>
      <c r="B1004" s="73" t="str">
        <f>TEXT("20120173",REPT(0,8))</f>
        <v>20120173</v>
      </c>
      <c r="C1004" s="73" t="s">
        <v>426</v>
      </c>
      <c r="D1004" s="72" t="s">
        <v>7</v>
      </c>
      <c r="E1004" s="82"/>
      <c r="F1004" s="83">
        <v>1</v>
      </c>
    </row>
    <row r="1005" s="50" customFormat="1" spans="1:6">
      <c r="A1005" s="76" t="s">
        <v>237</v>
      </c>
      <c r="B1005" s="73" t="str">
        <f>TEXT("20120174",REPT(0,8))</f>
        <v>20120174</v>
      </c>
      <c r="C1005" s="73" t="s">
        <v>426</v>
      </c>
      <c r="D1005" s="72" t="s">
        <v>7</v>
      </c>
      <c r="E1005" s="82"/>
      <c r="F1005" s="83">
        <v>1</v>
      </c>
    </row>
    <row r="1006" s="50" customFormat="1" spans="1:6">
      <c r="A1006" s="76" t="s">
        <v>237</v>
      </c>
      <c r="B1006" s="73" t="str">
        <f>TEXT("20120175",REPT(0,8))</f>
        <v>20120175</v>
      </c>
      <c r="C1006" s="73" t="s">
        <v>427</v>
      </c>
      <c r="D1006" s="72" t="s">
        <v>7</v>
      </c>
      <c r="E1006" s="82"/>
      <c r="F1006" s="83">
        <v>1</v>
      </c>
    </row>
    <row r="1007" s="50" customFormat="1" spans="1:6">
      <c r="A1007" s="76" t="s">
        <v>237</v>
      </c>
      <c r="B1007" s="73" t="str">
        <f>TEXT("20120176",REPT(0,8))</f>
        <v>20120176</v>
      </c>
      <c r="C1007" s="73" t="s">
        <v>427</v>
      </c>
      <c r="D1007" s="72" t="s">
        <v>7</v>
      </c>
      <c r="E1007" s="82"/>
      <c r="F1007" s="83">
        <v>1</v>
      </c>
    </row>
    <row r="1008" s="50" customFormat="1" spans="1:6">
      <c r="A1008" s="76" t="s">
        <v>237</v>
      </c>
      <c r="B1008" s="73" t="str">
        <f>TEXT("20120177",REPT(0,8))</f>
        <v>20120177</v>
      </c>
      <c r="C1008" s="73" t="s">
        <v>427</v>
      </c>
      <c r="D1008" s="72" t="s">
        <v>7</v>
      </c>
      <c r="E1008" s="82"/>
      <c r="F1008" s="83">
        <v>1</v>
      </c>
    </row>
    <row r="1009" s="50" customFormat="1" spans="1:6">
      <c r="A1009" s="76" t="s">
        <v>237</v>
      </c>
      <c r="B1009" s="73" t="str">
        <f>TEXT("20120178",REPT(0,8))</f>
        <v>20120178</v>
      </c>
      <c r="C1009" s="73" t="s">
        <v>427</v>
      </c>
      <c r="D1009" s="72" t="s">
        <v>7</v>
      </c>
      <c r="E1009" s="82"/>
      <c r="F1009" s="83">
        <v>1</v>
      </c>
    </row>
    <row r="1010" s="50" customFormat="1" spans="1:6">
      <c r="A1010" s="76" t="s">
        <v>237</v>
      </c>
      <c r="B1010" s="73" t="str">
        <f>TEXT("20120179",REPT(0,8))</f>
        <v>20120179</v>
      </c>
      <c r="C1010" s="73" t="s">
        <v>427</v>
      </c>
      <c r="D1010" s="72" t="s">
        <v>7</v>
      </c>
      <c r="E1010" s="82"/>
      <c r="F1010" s="83">
        <v>1</v>
      </c>
    </row>
    <row r="1011" s="50" customFormat="1" spans="1:6">
      <c r="A1011" s="76" t="s">
        <v>237</v>
      </c>
      <c r="B1011" s="73" t="str">
        <f>TEXT("20120180",REPT(0,8))</f>
        <v>20120180</v>
      </c>
      <c r="C1011" s="73" t="s">
        <v>427</v>
      </c>
      <c r="D1011" s="72" t="s">
        <v>7</v>
      </c>
      <c r="E1011" s="82"/>
      <c r="F1011" s="83">
        <v>1</v>
      </c>
    </row>
    <row r="1012" s="50" customFormat="1" spans="1:6">
      <c r="A1012" s="76" t="s">
        <v>237</v>
      </c>
      <c r="B1012" s="73" t="str">
        <f>TEXT("20120181",REPT(0,8))</f>
        <v>20120181</v>
      </c>
      <c r="C1012" s="73" t="s">
        <v>427</v>
      </c>
      <c r="D1012" s="72" t="s">
        <v>7</v>
      </c>
      <c r="E1012" s="82"/>
      <c r="F1012" s="83">
        <v>1</v>
      </c>
    </row>
    <row r="1013" s="50" customFormat="1" spans="1:6">
      <c r="A1013" s="76" t="s">
        <v>237</v>
      </c>
      <c r="B1013" s="73" t="str">
        <f>TEXT("20120182",REPT(0,8))</f>
        <v>20120182</v>
      </c>
      <c r="C1013" s="73" t="s">
        <v>427</v>
      </c>
      <c r="D1013" s="72" t="s">
        <v>7</v>
      </c>
      <c r="E1013" s="82"/>
      <c r="F1013" s="83">
        <v>1</v>
      </c>
    </row>
    <row r="1014" s="50" customFormat="1" spans="1:6">
      <c r="A1014" s="76" t="s">
        <v>237</v>
      </c>
      <c r="B1014" s="73" t="str">
        <f>TEXT("20120183",REPT(0,8))</f>
        <v>20120183</v>
      </c>
      <c r="C1014" s="73" t="s">
        <v>427</v>
      </c>
      <c r="D1014" s="72" t="s">
        <v>7</v>
      </c>
      <c r="E1014" s="82"/>
      <c r="F1014" s="83">
        <v>1</v>
      </c>
    </row>
    <row r="1015" s="50" customFormat="1" spans="1:6">
      <c r="A1015" s="76" t="s">
        <v>237</v>
      </c>
      <c r="B1015" s="73" t="str">
        <f>TEXT("20120184",REPT(0,8))</f>
        <v>20120184</v>
      </c>
      <c r="C1015" s="73" t="s">
        <v>427</v>
      </c>
      <c r="D1015" s="72" t="s">
        <v>7</v>
      </c>
      <c r="E1015" s="82"/>
      <c r="F1015" s="83">
        <v>1</v>
      </c>
    </row>
    <row r="1016" s="50" customFormat="1" spans="1:6">
      <c r="A1016" s="76" t="s">
        <v>237</v>
      </c>
      <c r="B1016" s="73" t="str">
        <f>TEXT("20120185",REPT(0,8))</f>
        <v>20120185</v>
      </c>
      <c r="C1016" s="73" t="s">
        <v>427</v>
      </c>
      <c r="D1016" s="72" t="s">
        <v>7</v>
      </c>
      <c r="E1016" s="82"/>
      <c r="F1016" s="83">
        <v>1</v>
      </c>
    </row>
    <row r="1017" s="50" customFormat="1" spans="1:6">
      <c r="A1017" s="76" t="s">
        <v>237</v>
      </c>
      <c r="B1017" s="73" t="str">
        <f>TEXT("20120186",REPT(0,8))</f>
        <v>20120186</v>
      </c>
      <c r="C1017" s="73" t="s">
        <v>427</v>
      </c>
      <c r="D1017" s="72" t="s">
        <v>7</v>
      </c>
      <c r="E1017" s="82"/>
      <c r="F1017" s="83">
        <v>1</v>
      </c>
    </row>
    <row r="1018" s="50" customFormat="1" spans="1:6">
      <c r="A1018" s="76" t="s">
        <v>237</v>
      </c>
      <c r="B1018" s="73" t="str">
        <f>TEXT("20120187",REPT(0,8))</f>
        <v>20120187</v>
      </c>
      <c r="C1018" s="73" t="s">
        <v>428</v>
      </c>
      <c r="D1018" s="72" t="s">
        <v>7</v>
      </c>
      <c r="E1018" s="82"/>
      <c r="F1018" s="83">
        <v>1</v>
      </c>
    </row>
    <row r="1019" s="50" customFormat="1" spans="1:6">
      <c r="A1019" s="76" t="s">
        <v>237</v>
      </c>
      <c r="B1019" s="73" t="str">
        <f>TEXT("20120188",REPT(0,8))</f>
        <v>20120188</v>
      </c>
      <c r="C1019" s="73" t="s">
        <v>428</v>
      </c>
      <c r="D1019" s="72" t="s">
        <v>7</v>
      </c>
      <c r="E1019" s="82"/>
      <c r="F1019" s="83">
        <v>1</v>
      </c>
    </row>
    <row r="1020" s="50" customFormat="1" spans="1:6">
      <c r="A1020" s="76" t="s">
        <v>237</v>
      </c>
      <c r="B1020" s="73" t="str">
        <f>TEXT("20120189",REPT(0,8))</f>
        <v>20120189</v>
      </c>
      <c r="C1020" s="73" t="s">
        <v>428</v>
      </c>
      <c r="D1020" s="72" t="s">
        <v>7</v>
      </c>
      <c r="E1020" s="82"/>
      <c r="F1020" s="83">
        <v>1</v>
      </c>
    </row>
    <row r="1021" s="50" customFormat="1" spans="1:6">
      <c r="A1021" s="76" t="s">
        <v>237</v>
      </c>
      <c r="B1021" s="73" t="str">
        <f>TEXT("20120190",REPT(0,8))</f>
        <v>20120190</v>
      </c>
      <c r="C1021" s="73" t="s">
        <v>428</v>
      </c>
      <c r="D1021" s="72" t="s">
        <v>7</v>
      </c>
      <c r="E1021" s="82"/>
      <c r="F1021" s="83">
        <v>1</v>
      </c>
    </row>
    <row r="1022" s="50" customFormat="1" spans="1:6">
      <c r="A1022" s="76" t="s">
        <v>237</v>
      </c>
      <c r="B1022" s="73" t="str">
        <f>TEXT("20120191",REPT(0,8))</f>
        <v>20120191</v>
      </c>
      <c r="C1022" s="73" t="s">
        <v>428</v>
      </c>
      <c r="D1022" s="72" t="s">
        <v>7</v>
      </c>
      <c r="E1022" s="82"/>
      <c r="F1022" s="83">
        <v>1</v>
      </c>
    </row>
    <row r="1023" s="50" customFormat="1" spans="1:6">
      <c r="A1023" s="76" t="s">
        <v>237</v>
      </c>
      <c r="B1023" s="73" t="str">
        <f>TEXT("20120192",REPT(0,8))</f>
        <v>20120192</v>
      </c>
      <c r="C1023" s="73" t="s">
        <v>428</v>
      </c>
      <c r="D1023" s="72" t="s">
        <v>7</v>
      </c>
      <c r="E1023" s="82"/>
      <c r="F1023" s="83">
        <v>1</v>
      </c>
    </row>
    <row r="1024" s="50" customFormat="1" spans="1:6">
      <c r="A1024" s="76" t="s">
        <v>237</v>
      </c>
      <c r="B1024" s="73" t="str">
        <f>TEXT("20120193",REPT(0,8))</f>
        <v>20120193</v>
      </c>
      <c r="C1024" s="73" t="s">
        <v>428</v>
      </c>
      <c r="D1024" s="72" t="s">
        <v>7</v>
      </c>
      <c r="E1024" s="82"/>
      <c r="F1024" s="83">
        <v>1</v>
      </c>
    </row>
    <row r="1025" s="50" customFormat="1" spans="1:6">
      <c r="A1025" s="76" t="s">
        <v>237</v>
      </c>
      <c r="B1025" s="73" t="str">
        <f>TEXT("20120194",REPT(0,8))</f>
        <v>20120194</v>
      </c>
      <c r="C1025" s="73" t="s">
        <v>428</v>
      </c>
      <c r="D1025" s="72" t="s">
        <v>7</v>
      </c>
      <c r="E1025" s="82"/>
      <c r="F1025" s="83">
        <v>1</v>
      </c>
    </row>
    <row r="1026" s="50" customFormat="1" spans="1:6">
      <c r="A1026" s="76" t="s">
        <v>237</v>
      </c>
      <c r="B1026" s="73" t="str">
        <f>TEXT("20120195",REPT(0,8))</f>
        <v>20120195</v>
      </c>
      <c r="C1026" s="73" t="s">
        <v>428</v>
      </c>
      <c r="D1026" s="72" t="s">
        <v>7</v>
      </c>
      <c r="E1026" s="82"/>
      <c r="F1026" s="83">
        <v>1</v>
      </c>
    </row>
    <row r="1027" s="50" customFormat="1" spans="1:6">
      <c r="A1027" s="76" t="s">
        <v>237</v>
      </c>
      <c r="B1027" s="73" t="str">
        <f>TEXT("20120196",REPT(0,8))</f>
        <v>20120196</v>
      </c>
      <c r="C1027" s="73" t="s">
        <v>428</v>
      </c>
      <c r="D1027" s="72" t="s">
        <v>7</v>
      </c>
      <c r="E1027" s="82"/>
      <c r="F1027" s="83">
        <v>1</v>
      </c>
    </row>
    <row r="1028" s="50" customFormat="1" spans="1:6">
      <c r="A1028" s="76" t="s">
        <v>237</v>
      </c>
      <c r="B1028" s="73" t="str">
        <f>TEXT("20120197",REPT(0,8))</f>
        <v>20120197</v>
      </c>
      <c r="C1028" s="73" t="s">
        <v>428</v>
      </c>
      <c r="D1028" s="72" t="s">
        <v>7</v>
      </c>
      <c r="E1028" s="82"/>
      <c r="F1028" s="83">
        <v>1</v>
      </c>
    </row>
    <row r="1029" s="50" customFormat="1" spans="1:6">
      <c r="A1029" s="76" t="s">
        <v>237</v>
      </c>
      <c r="B1029" s="73" t="str">
        <f>TEXT("20120198",REPT(0,8))</f>
        <v>20120198</v>
      </c>
      <c r="C1029" s="73" t="s">
        <v>428</v>
      </c>
      <c r="D1029" s="72" t="s">
        <v>7</v>
      </c>
      <c r="E1029" s="82"/>
      <c r="F1029" s="83">
        <v>1</v>
      </c>
    </row>
    <row r="1030" s="50" customFormat="1" spans="1:6">
      <c r="A1030" s="76" t="s">
        <v>237</v>
      </c>
      <c r="B1030" s="73" t="str">
        <f>TEXT("20130249",REPT(0,8))</f>
        <v>20130249</v>
      </c>
      <c r="C1030" s="73" t="s">
        <v>429</v>
      </c>
      <c r="D1030" s="72" t="s">
        <v>7</v>
      </c>
      <c r="E1030" s="82"/>
      <c r="F1030" s="83">
        <v>1</v>
      </c>
    </row>
    <row r="1031" s="50" customFormat="1" spans="1:6">
      <c r="A1031" s="76" t="s">
        <v>237</v>
      </c>
      <c r="B1031" s="73" t="str">
        <f>TEXT("20120055",REPT(0,8))</f>
        <v>20120055</v>
      </c>
      <c r="C1031" s="73" t="s">
        <v>430</v>
      </c>
      <c r="D1031" s="72" t="s">
        <v>7</v>
      </c>
      <c r="E1031" s="82"/>
      <c r="F1031" s="83">
        <v>1</v>
      </c>
    </row>
    <row r="1032" s="50" customFormat="1" spans="1:6">
      <c r="A1032" s="76" t="s">
        <v>237</v>
      </c>
      <c r="B1032" s="73" t="str">
        <f>TEXT("20120056",REPT(0,8))</f>
        <v>20120056</v>
      </c>
      <c r="C1032" s="73" t="s">
        <v>430</v>
      </c>
      <c r="D1032" s="72" t="s">
        <v>7</v>
      </c>
      <c r="E1032" s="82"/>
      <c r="F1032" s="83">
        <v>1</v>
      </c>
    </row>
    <row r="1033" s="50" customFormat="1" spans="1:6">
      <c r="A1033" s="76" t="s">
        <v>237</v>
      </c>
      <c r="B1033" s="73" t="str">
        <f>TEXT("20120057",REPT(0,8))</f>
        <v>20120057</v>
      </c>
      <c r="C1033" s="73" t="s">
        <v>430</v>
      </c>
      <c r="D1033" s="72" t="s">
        <v>7</v>
      </c>
      <c r="E1033" s="82"/>
      <c r="F1033" s="83">
        <v>1</v>
      </c>
    </row>
    <row r="1034" s="50" customFormat="1" spans="1:6">
      <c r="A1034" s="76" t="s">
        <v>237</v>
      </c>
      <c r="B1034" s="73" t="str">
        <f>TEXT("20120058",REPT(0,8))</f>
        <v>20120058</v>
      </c>
      <c r="C1034" s="73" t="s">
        <v>430</v>
      </c>
      <c r="D1034" s="72" t="s">
        <v>7</v>
      </c>
      <c r="E1034" s="82"/>
      <c r="F1034" s="83">
        <v>1</v>
      </c>
    </row>
    <row r="1035" s="50" customFormat="1" spans="1:6">
      <c r="A1035" s="76" t="s">
        <v>237</v>
      </c>
      <c r="B1035" s="73" t="str">
        <f>TEXT("20120059",REPT(0,8))</f>
        <v>20120059</v>
      </c>
      <c r="C1035" s="73" t="s">
        <v>430</v>
      </c>
      <c r="D1035" s="72" t="s">
        <v>7</v>
      </c>
      <c r="E1035" s="82"/>
      <c r="F1035" s="83">
        <v>1</v>
      </c>
    </row>
    <row r="1036" s="50" customFormat="1" spans="1:6">
      <c r="A1036" s="76" t="s">
        <v>237</v>
      </c>
      <c r="B1036" s="73" t="str">
        <f>TEXT("20120060",REPT(0,8))</f>
        <v>20120060</v>
      </c>
      <c r="C1036" s="73" t="s">
        <v>430</v>
      </c>
      <c r="D1036" s="72" t="s">
        <v>7</v>
      </c>
      <c r="E1036" s="82"/>
      <c r="F1036" s="83">
        <v>1</v>
      </c>
    </row>
    <row r="1037" s="50" customFormat="1" spans="1:6">
      <c r="A1037" s="76" t="s">
        <v>237</v>
      </c>
      <c r="B1037" s="73" t="str">
        <f>TEXT("20120061",REPT(0,8))</f>
        <v>20120061</v>
      </c>
      <c r="C1037" s="73" t="s">
        <v>430</v>
      </c>
      <c r="D1037" s="72" t="s">
        <v>7</v>
      </c>
      <c r="E1037" s="82"/>
      <c r="F1037" s="83">
        <v>1</v>
      </c>
    </row>
    <row r="1038" s="50" customFormat="1" spans="1:6">
      <c r="A1038" s="76" t="s">
        <v>237</v>
      </c>
      <c r="B1038" s="73" t="str">
        <f>TEXT("20120062",REPT(0,8))</f>
        <v>20120062</v>
      </c>
      <c r="C1038" s="73" t="s">
        <v>430</v>
      </c>
      <c r="D1038" s="72" t="s">
        <v>7</v>
      </c>
      <c r="E1038" s="82"/>
      <c r="F1038" s="83">
        <v>1</v>
      </c>
    </row>
    <row r="1039" s="50" customFormat="1" spans="1:6">
      <c r="A1039" s="76" t="s">
        <v>237</v>
      </c>
      <c r="B1039" s="73" t="str">
        <f>TEXT("20120063",REPT(0,8))</f>
        <v>20120063</v>
      </c>
      <c r="C1039" s="73" t="s">
        <v>430</v>
      </c>
      <c r="D1039" s="72" t="s">
        <v>7</v>
      </c>
      <c r="E1039" s="82"/>
      <c r="F1039" s="83">
        <v>1</v>
      </c>
    </row>
    <row r="1040" s="50" customFormat="1" spans="1:6">
      <c r="A1040" s="76" t="s">
        <v>237</v>
      </c>
      <c r="B1040" s="73" t="str">
        <f>TEXT("20120064",REPT(0,8))</f>
        <v>20120064</v>
      </c>
      <c r="C1040" s="73" t="s">
        <v>430</v>
      </c>
      <c r="D1040" s="72" t="s">
        <v>7</v>
      </c>
      <c r="E1040" s="82"/>
      <c r="F1040" s="83">
        <v>1</v>
      </c>
    </row>
    <row r="1041" s="50" customFormat="1" spans="1:6">
      <c r="A1041" s="76" t="s">
        <v>237</v>
      </c>
      <c r="B1041" s="73" t="str">
        <f>TEXT("20120065",REPT(0,8))</f>
        <v>20120065</v>
      </c>
      <c r="C1041" s="73" t="s">
        <v>430</v>
      </c>
      <c r="D1041" s="72" t="s">
        <v>7</v>
      </c>
      <c r="E1041" s="82"/>
      <c r="F1041" s="83">
        <v>1</v>
      </c>
    </row>
    <row r="1042" s="50" customFormat="1" spans="1:6">
      <c r="A1042" s="76" t="s">
        <v>237</v>
      </c>
      <c r="B1042" s="73" t="str">
        <f>TEXT("20120066",REPT(0,8))</f>
        <v>20120066</v>
      </c>
      <c r="C1042" s="73" t="s">
        <v>430</v>
      </c>
      <c r="D1042" s="72" t="s">
        <v>7</v>
      </c>
      <c r="E1042" s="82"/>
      <c r="F1042" s="83">
        <v>1</v>
      </c>
    </row>
    <row r="1043" s="50" customFormat="1" spans="1:6">
      <c r="A1043" s="76" t="s">
        <v>237</v>
      </c>
      <c r="B1043" s="73" t="str">
        <f>TEXT("20120067",REPT(0,8))</f>
        <v>20120067</v>
      </c>
      <c r="C1043" s="73" t="s">
        <v>430</v>
      </c>
      <c r="D1043" s="72" t="s">
        <v>7</v>
      </c>
      <c r="E1043" s="82"/>
      <c r="F1043" s="83">
        <v>1</v>
      </c>
    </row>
    <row r="1044" s="50" customFormat="1" spans="1:6">
      <c r="A1044" s="76" t="s">
        <v>237</v>
      </c>
      <c r="B1044" s="73" t="str">
        <f>TEXT("20120068",REPT(0,8))</f>
        <v>20120068</v>
      </c>
      <c r="C1044" s="73" t="s">
        <v>431</v>
      </c>
      <c r="D1044" s="72" t="s">
        <v>7</v>
      </c>
      <c r="E1044" s="82"/>
      <c r="F1044" s="83">
        <v>1</v>
      </c>
    </row>
    <row r="1045" s="50" customFormat="1" spans="1:6">
      <c r="A1045" s="76" t="s">
        <v>237</v>
      </c>
      <c r="B1045" s="73" t="str">
        <f>TEXT("20120069",REPT(0,8))</f>
        <v>20120069</v>
      </c>
      <c r="C1045" s="73" t="s">
        <v>431</v>
      </c>
      <c r="D1045" s="72" t="s">
        <v>7</v>
      </c>
      <c r="E1045" s="82"/>
      <c r="F1045" s="83">
        <v>1</v>
      </c>
    </row>
    <row r="1046" s="50" customFormat="1" spans="1:6">
      <c r="A1046" s="76" t="s">
        <v>237</v>
      </c>
      <c r="B1046" s="73" t="str">
        <f>TEXT("20120070",REPT(0,8))</f>
        <v>20120070</v>
      </c>
      <c r="C1046" s="73" t="s">
        <v>431</v>
      </c>
      <c r="D1046" s="72" t="s">
        <v>7</v>
      </c>
      <c r="E1046" s="82"/>
      <c r="F1046" s="83">
        <v>1</v>
      </c>
    </row>
    <row r="1047" s="50" customFormat="1" spans="1:6">
      <c r="A1047" s="76" t="s">
        <v>237</v>
      </c>
      <c r="B1047" s="73" t="str">
        <f>TEXT("20120071",REPT(0,8))</f>
        <v>20120071</v>
      </c>
      <c r="C1047" s="73" t="s">
        <v>431</v>
      </c>
      <c r="D1047" s="72" t="s">
        <v>7</v>
      </c>
      <c r="E1047" s="82"/>
      <c r="F1047" s="83">
        <v>1</v>
      </c>
    </row>
    <row r="1048" s="50" customFormat="1" spans="1:6">
      <c r="A1048" s="76" t="s">
        <v>237</v>
      </c>
      <c r="B1048" s="73" t="str">
        <f>TEXT("20120072",REPT(0,8))</f>
        <v>20120072</v>
      </c>
      <c r="C1048" s="73" t="s">
        <v>431</v>
      </c>
      <c r="D1048" s="72" t="s">
        <v>7</v>
      </c>
      <c r="E1048" s="82"/>
      <c r="F1048" s="83">
        <v>1</v>
      </c>
    </row>
    <row r="1049" s="50" customFormat="1" spans="1:6">
      <c r="A1049" s="76" t="s">
        <v>237</v>
      </c>
      <c r="B1049" s="73" t="str">
        <f>TEXT("20120073",REPT(0,8))</f>
        <v>20120073</v>
      </c>
      <c r="C1049" s="73" t="s">
        <v>431</v>
      </c>
      <c r="D1049" s="72" t="s">
        <v>7</v>
      </c>
      <c r="E1049" s="82"/>
      <c r="F1049" s="83">
        <v>1</v>
      </c>
    </row>
    <row r="1050" s="50" customFormat="1" spans="1:6">
      <c r="A1050" s="76" t="s">
        <v>237</v>
      </c>
      <c r="B1050" s="73" t="str">
        <f>TEXT("20120074",REPT(0,8))</f>
        <v>20120074</v>
      </c>
      <c r="C1050" s="73" t="s">
        <v>431</v>
      </c>
      <c r="D1050" s="72" t="s">
        <v>7</v>
      </c>
      <c r="E1050" s="82"/>
      <c r="F1050" s="83">
        <v>1</v>
      </c>
    </row>
    <row r="1051" s="50" customFormat="1" spans="1:6">
      <c r="A1051" s="76" t="s">
        <v>237</v>
      </c>
      <c r="B1051" s="73" t="str">
        <f>TEXT("20120075",REPT(0,8))</f>
        <v>20120075</v>
      </c>
      <c r="C1051" s="73" t="s">
        <v>431</v>
      </c>
      <c r="D1051" s="72" t="s">
        <v>7</v>
      </c>
      <c r="E1051" s="82"/>
      <c r="F1051" s="83">
        <v>1</v>
      </c>
    </row>
    <row r="1052" s="50" customFormat="1" spans="1:6">
      <c r="A1052" s="76" t="s">
        <v>237</v>
      </c>
      <c r="B1052" s="73" t="str">
        <f>TEXT("20120076",REPT(0,8))</f>
        <v>20120076</v>
      </c>
      <c r="C1052" s="73" t="s">
        <v>431</v>
      </c>
      <c r="D1052" s="72" t="s">
        <v>7</v>
      </c>
      <c r="E1052" s="82"/>
      <c r="F1052" s="83">
        <v>1</v>
      </c>
    </row>
    <row r="1053" s="50" customFormat="1" spans="1:6">
      <c r="A1053" s="76" t="s">
        <v>237</v>
      </c>
      <c r="B1053" s="73" t="str">
        <f>TEXT("20120077",REPT(0,8))</f>
        <v>20120077</v>
      </c>
      <c r="C1053" s="73" t="s">
        <v>431</v>
      </c>
      <c r="D1053" s="72" t="s">
        <v>7</v>
      </c>
      <c r="E1053" s="82"/>
      <c r="F1053" s="83">
        <v>1</v>
      </c>
    </row>
    <row r="1054" s="50" customFormat="1" spans="1:6">
      <c r="A1054" s="76" t="s">
        <v>237</v>
      </c>
      <c r="B1054" s="73" t="str">
        <f>TEXT("20120078",REPT(0,8))</f>
        <v>20120078</v>
      </c>
      <c r="C1054" s="73" t="s">
        <v>431</v>
      </c>
      <c r="D1054" s="72" t="s">
        <v>7</v>
      </c>
      <c r="E1054" s="82"/>
      <c r="F1054" s="83">
        <v>1</v>
      </c>
    </row>
    <row r="1055" s="50" customFormat="1" spans="1:6">
      <c r="A1055" s="76" t="s">
        <v>237</v>
      </c>
      <c r="B1055" s="73" t="str">
        <f>TEXT("20120079",REPT(0,8))</f>
        <v>20120079</v>
      </c>
      <c r="C1055" s="73" t="s">
        <v>431</v>
      </c>
      <c r="D1055" s="72" t="s">
        <v>7</v>
      </c>
      <c r="E1055" s="82"/>
      <c r="F1055" s="83">
        <v>1</v>
      </c>
    </row>
    <row r="1056" s="50" customFormat="1" spans="1:6">
      <c r="A1056" s="76" t="s">
        <v>237</v>
      </c>
      <c r="B1056" s="73" t="str">
        <f>TEXT("20120095",REPT(0,8))</f>
        <v>20120095</v>
      </c>
      <c r="C1056" s="73" t="s">
        <v>432</v>
      </c>
      <c r="D1056" s="72" t="s">
        <v>7</v>
      </c>
      <c r="E1056" s="82"/>
      <c r="F1056" s="83">
        <v>1</v>
      </c>
    </row>
    <row r="1057" s="50" customFormat="1" spans="1:6">
      <c r="A1057" s="76" t="s">
        <v>237</v>
      </c>
      <c r="B1057" s="73" t="str">
        <f>TEXT("20120096",REPT(0,8))</f>
        <v>20120096</v>
      </c>
      <c r="C1057" s="73" t="s">
        <v>432</v>
      </c>
      <c r="D1057" s="72" t="s">
        <v>7</v>
      </c>
      <c r="E1057" s="82"/>
      <c r="F1057" s="83">
        <v>1</v>
      </c>
    </row>
    <row r="1058" s="50" customFormat="1" spans="1:6">
      <c r="A1058" s="76" t="s">
        <v>237</v>
      </c>
      <c r="B1058" s="73" t="str">
        <f>TEXT("20120097",REPT(0,8))</f>
        <v>20120097</v>
      </c>
      <c r="C1058" s="73" t="s">
        <v>432</v>
      </c>
      <c r="D1058" s="72" t="s">
        <v>7</v>
      </c>
      <c r="E1058" s="82"/>
      <c r="F1058" s="83">
        <v>1</v>
      </c>
    </row>
    <row r="1059" s="50" customFormat="1" spans="1:6">
      <c r="A1059" s="76" t="s">
        <v>237</v>
      </c>
      <c r="B1059" s="73" t="str">
        <f>TEXT("20120098",REPT(0,8))</f>
        <v>20120098</v>
      </c>
      <c r="C1059" s="73" t="s">
        <v>432</v>
      </c>
      <c r="D1059" s="72" t="s">
        <v>7</v>
      </c>
      <c r="E1059" s="82"/>
      <c r="F1059" s="83">
        <v>1</v>
      </c>
    </row>
    <row r="1060" s="50" customFormat="1" spans="1:6">
      <c r="A1060" s="76" t="s">
        <v>237</v>
      </c>
      <c r="B1060" s="73" t="str">
        <f>TEXT("20120099",REPT(0,8))</f>
        <v>20120099</v>
      </c>
      <c r="C1060" s="73" t="s">
        <v>432</v>
      </c>
      <c r="D1060" s="72" t="s">
        <v>7</v>
      </c>
      <c r="E1060" s="82"/>
      <c r="F1060" s="83">
        <v>1</v>
      </c>
    </row>
    <row r="1061" s="50" customFormat="1" spans="1:6">
      <c r="A1061" s="76" t="s">
        <v>237</v>
      </c>
      <c r="B1061" s="73" t="str">
        <f>TEXT("20120100",REPT(0,8))</f>
        <v>20120100</v>
      </c>
      <c r="C1061" s="73" t="s">
        <v>432</v>
      </c>
      <c r="D1061" s="72" t="s">
        <v>7</v>
      </c>
      <c r="E1061" s="82"/>
      <c r="F1061" s="83">
        <v>1</v>
      </c>
    </row>
    <row r="1062" s="50" customFormat="1" spans="1:6">
      <c r="A1062" s="76" t="s">
        <v>237</v>
      </c>
      <c r="B1062" s="73" t="str">
        <f>TEXT("20120101",REPT(0,8))</f>
        <v>20120101</v>
      </c>
      <c r="C1062" s="73" t="s">
        <v>432</v>
      </c>
      <c r="D1062" s="72" t="s">
        <v>7</v>
      </c>
      <c r="E1062" s="82"/>
      <c r="F1062" s="83">
        <v>1</v>
      </c>
    </row>
    <row r="1063" s="50" customFormat="1" spans="1:6">
      <c r="A1063" s="76" t="s">
        <v>237</v>
      </c>
      <c r="B1063" s="73" t="str">
        <f>TEXT("20120102",REPT(0,8))</f>
        <v>20120102</v>
      </c>
      <c r="C1063" s="73" t="s">
        <v>432</v>
      </c>
      <c r="D1063" s="72" t="s">
        <v>7</v>
      </c>
      <c r="E1063" s="82"/>
      <c r="F1063" s="83">
        <v>1</v>
      </c>
    </row>
    <row r="1064" s="50" customFormat="1" spans="1:6">
      <c r="A1064" s="76" t="s">
        <v>237</v>
      </c>
      <c r="B1064" s="73" t="str">
        <f>TEXT("20120103",REPT(0,8))</f>
        <v>20120103</v>
      </c>
      <c r="C1064" s="73" t="s">
        <v>432</v>
      </c>
      <c r="D1064" s="72" t="s">
        <v>7</v>
      </c>
      <c r="E1064" s="82"/>
      <c r="F1064" s="83">
        <v>1</v>
      </c>
    </row>
    <row r="1065" s="50" customFormat="1" spans="1:6">
      <c r="A1065" s="76" t="s">
        <v>237</v>
      </c>
      <c r="B1065" s="73" t="str">
        <f>TEXT("20120104",REPT(0,8))</f>
        <v>20120104</v>
      </c>
      <c r="C1065" s="73" t="s">
        <v>432</v>
      </c>
      <c r="D1065" s="72" t="s">
        <v>7</v>
      </c>
      <c r="E1065" s="82"/>
      <c r="F1065" s="83">
        <v>1</v>
      </c>
    </row>
    <row r="1066" s="50" customFormat="1" spans="1:6">
      <c r="A1066" s="76" t="s">
        <v>237</v>
      </c>
      <c r="B1066" s="73" t="str">
        <f>TEXT("20120105",REPT(0,8))</f>
        <v>20120105</v>
      </c>
      <c r="C1066" s="73" t="s">
        <v>432</v>
      </c>
      <c r="D1066" s="72" t="s">
        <v>7</v>
      </c>
      <c r="E1066" s="82"/>
      <c r="F1066" s="83">
        <v>1</v>
      </c>
    </row>
    <row r="1067" s="50" customFormat="1" spans="1:6">
      <c r="A1067" s="76" t="s">
        <v>237</v>
      </c>
      <c r="B1067" s="73" t="str">
        <f>TEXT("20120106",REPT(0,8))</f>
        <v>20120106</v>
      </c>
      <c r="C1067" s="73" t="s">
        <v>432</v>
      </c>
      <c r="D1067" s="72" t="s">
        <v>7</v>
      </c>
      <c r="E1067" s="82"/>
      <c r="F1067" s="83">
        <v>1</v>
      </c>
    </row>
    <row r="1068" s="50" customFormat="1" spans="1:6">
      <c r="A1068" s="76" t="s">
        <v>237</v>
      </c>
      <c r="B1068" s="73" t="str">
        <f>TEXT("20120151",REPT(0,8))</f>
        <v>20120151</v>
      </c>
      <c r="C1068" s="73" t="s">
        <v>378</v>
      </c>
      <c r="D1068" s="72" t="s">
        <v>7</v>
      </c>
      <c r="E1068" s="82"/>
      <c r="F1068" s="83">
        <v>1</v>
      </c>
    </row>
    <row r="1069" s="50" customFormat="1" spans="1:6">
      <c r="A1069" s="76" t="s">
        <v>237</v>
      </c>
      <c r="B1069" s="73" t="str">
        <f>TEXT("20120152",REPT(0,8))</f>
        <v>20120152</v>
      </c>
      <c r="C1069" s="73" t="s">
        <v>378</v>
      </c>
      <c r="D1069" s="72" t="s">
        <v>7</v>
      </c>
      <c r="E1069" s="82"/>
      <c r="F1069" s="83">
        <v>1</v>
      </c>
    </row>
    <row r="1070" s="50" customFormat="1" spans="1:6">
      <c r="A1070" s="76" t="s">
        <v>237</v>
      </c>
      <c r="B1070" s="73" t="str">
        <f>TEXT("20120153",REPT(0,8))</f>
        <v>20120153</v>
      </c>
      <c r="C1070" s="73" t="s">
        <v>378</v>
      </c>
      <c r="D1070" s="72" t="s">
        <v>7</v>
      </c>
      <c r="E1070" s="82"/>
      <c r="F1070" s="83">
        <v>1</v>
      </c>
    </row>
    <row r="1071" s="50" customFormat="1" spans="1:6">
      <c r="A1071" s="76" t="s">
        <v>237</v>
      </c>
      <c r="B1071" s="73" t="str">
        <f>TEXT("20120154",REPT(0,8))</f>
        <v>20120154</v>
      </c>
      <c r="C1071" s="73" t="s">
        <v>378</v>
      </c>
      <c r="D1071" s="72" t="s">
        <v>7</v>
      </c>
      <c r="E1071" s="82"/>
      <c r="F1071" s="83">
        <v>1</v>
      </c>
    </row>
    <row r="1072" s="50" customFormat="1" spans="1:6">
      <c r="A1072" s="76" t="s">
        <v>237</v>
      </c>
      <c r="B1072" s="73" t="str">
        <f>TEXT("20120155",REPT(0,8))</f>
        <v>20120155</v>
      </c>
      <c r="C1072" s="73" t="s">
        <v>378</v>
      </c>
      <c r="D1072" s="72" t="s">
        <v>7</v>
      </c>
      <c r="E1072" s="82"/>
      <c r="F1072" s="83">
        <v>1</v>
      </c>
    </row>
    <row r="1073" s="50" customFormat="1" spans="1:6">
      <c r="A1073" s="76" t="s">
        <v>237</v>
      </c>
      <c r="B1073" s="73" t="str">
        <f>TEXT("20120156",REPT(0,8))</f>
        <v>20120156</v>
      </c>
      <c r="C1073" s="73" t="s">
        <v>378</v>
      </c>
      <c r="D1073" s="72" t="s">
        <v>7</v>
      </c>
      <c r="E1073" s="82"/>
      <c r="F1073" s="83">
        <v>1</v>
      </c>
    </row>
    <row r="1074" s="50" customFormat="1" spans="1:6">
      <c r="A1074" s="76" t="s">
        <v>237</v>
      </c>
      <c r="B1074" s="73" t="str">
        <f>TEXT("20120157",REPT(0,8))</f>
        <v>20120157</v>
      </c>
      <c r="C1074" s="73" t="s">
        <v>378</v>
      </c>
      <c r="D1074" s="72" t="s">
        <v>7</v>
      </c>
      <c r="E1074" s="82"/>
      <c r="F1074" s="83">
        <v>1</v>
      </c>
    </row>
    <row r="1075" s="50" customFormat="1" spans="1:6">
      <c r="A1075" s="76" t="s">
        <v>237</v>
      </c>
      <c r="B1075" s="73" t="str">
        <f>TEXT("20120158",REPT(0,8))</f>
        <v>20120158</v>
      </c>
      <c r="C1075" s="73" t="s">
        <v>378</v>
      </c>
      <c r="D1075" s="72" t="s">
        <v>7</v>
      </c>
      <c r="E1075" s="82"/>
      <c r="F1075" s="83">
        <v>1</v>
      </c>
    </row>
    <row r="1076" s="50" customFormat="1" spans="1:6">
      <c r="A1076" s="76" t="s">
        <v>237</v>
      </c>
      <c r="B1076" s="73" t="str">
        <f>TEXT("20120159",REPT(0,8))</f>
        <v>20120159</v>
      </c>
      <c r="C1076" s="73" t="s">
        <v>378</v>
      </c>
      <c r="D1076" s="72" t="s">
        <v>7</v>
      </c>
      <c r="E1076" s="82"/>
      <c r="F1076" s="83">
        <v>1</v>
      </c>
    </row>
    <row r="1077" s="50" customFormat="1" spans="1:6">
      <c r="A1077" s="76" t="s">
        <v>237</v>
      </c>
      <c r="B1077" s="73" t="str">
        <f>TEXT("20120160",REPT(0,8))</f>
        <v>20120160</v>
      </c>
      <c r="C1077" s="73" t="s">
        <v>378</v>
      </c>
      <c r="D1077" s="72" t="s">
        <v>7</v>
      </c>
      <c r="E1077" s="82"/>
      <c r="F1077" s="83">
        <v>1</v>
      </c>
    </row>
    <row r="1078" s="50" customFormat="1" spans="1:6">
      <c r="A1078" s="76" t="s">
        <v>237</v>
      </c>
      <c r="B1078" s="73" t="str">
        <f>TEXT("20120161",REPT(0,8))</f>
        <v>20120161</v>
      </c>
      <c r="C1078" s="73" t="s">
        <v>378</v>
      </c>
      <c r="D1078" s="72" t="s">
        <v>7</v>
      </c>
      <c r="E1078" s="82"/>
      <c r="F1078" s="83">
        <v>1</v>
      </c>
    </row>
    <row r="1079" s="50" customFormat="1" spans="1:6">
      <c r="A1079" s="76" t="s">
        <v>237</v>
      </c>
      <c r="B1079" s="73" t="str">
        <f>TEXT("20120162",REPT(0,8))</f>
        <v>20120162</v>
      </c>
      <c r="C1079" s="73" t="s">
        <v>378</v>
      </c>
      <c r="D1079" s="72" t="s">
        <v>7</v>
      </c>
      <c r="E1079" s="82"/>
      <c r="F1079" s="83">
        <v>1</v>
      </c>
    </row>
    <row r="1080" s="50" customFormat="1" spans="1:6">
      <c r="A1080" s="76" t="s">
        <v>237</v>
      </c>
      <c r="B1080" s="73" t="str">
        <f>TEXT("20120163",REPT(0,8))</f>
        <v>20120163</v>
      </c>
      <c r="C1080" s="73" t="s">
        <v>426</v>
      </c>
      <c r="D1080" s="72" t="s">
        <v>7</v>
      </c>
      <c r="E1080" s="82"/>
      <c r="F1080" s="83">
        <v>1</v>
      </c>
    </row>
    <row r="1081" s="50" customFormat="1" spans="1:6">
      <c r="A1081" s="76" t="s">
        <v>237</v>
      </c>
      <c r="B1081" s="73" t="str">
        <f>TEXT("20120164",REPT(0,8))</f>
        <v>20120164</v>
      </c>
      <c r="C1081" s="73" t="s">
        <v>426</v>
      </c>
      <c r="D1081" s="72" t="s">
        <v>7</v>
      </c>
      <c r="E1081" s="82"/>
      <c r="F1081" s="83">
        <v>1</v>
      </c>
    </row>
    <row r="1082" s="50" customFormat="1" spans="1:6">
      <c r="A1082" s="76" t="s">
        <v>237</v>
      </c>
      <c r="B1082" s="73" t="str">
        <f>TEXT("20120165",REPT(0,8))</f>
        <v>20120165</v>
      </c>
      <c r="C1082" s="73" t="s">
        <v>426</v>
      </c>
      <c r="D1082" s="72" t="s">
        <v>7</v>
      </c>
      <c r="E1082" s="82"/>
      <c r="F1082" s="83">
        <v>1</v>
      </c>
    </row>
    <row r="1083" s="50" customFormat="1" spans="1:6">
      <c r="A1083" s="76" t="s">
        <v>237</v>
      </c>
      <c r="B1083" s="73" t="str">
        <f>TEXT("20120166",REPT(0,8))</f>
        <v>20120166</v>
      </c>
      <c r="C1083" s="73" t="s">
        <v>426</v>
      </c>
      <c r="D1083" s="72" t="s">
        <v>7</v>
      </c>
      <c r="E1083" s="82"/>
      <c r="F1083" s="83">
        <v>1</v>
      </c>
    </row>
    <row r="1084" s="50" customFormat="1" spans="1:6">
      <c r="A1084" s="76" t="s">
        <v>237</v>
      </c>
      <c r="B1084" s="73" t="str">
        <f>TEXT("20120167",REPT(0,8))</f>
        <v>20120167</v>
      </c>
      <c r="C1084" s="73" t="s">
        <v>426</v>
      </c>
      <c r="D1084" s="72" t="s">
        <v>7</v>
      </c>
      <c r="E1084" s="82"/>
      <c r="F1084" s="83">
        <v>1</v>
      </c>
    </row>
    <row r="1085" s="50" customFormat="1" spans="1:6">
      <c r="A1085" s="76" t="s">
        <v>237</v>
      </c>
      <c r="B1085" s="73" t="str">
        <f>TEXT("20120168",REPT(0,8))</f>
        <v>20120168</v>
      </c>
      <c r="C1085" s="73" t="s">
        <v>426</v>
      </c>
      <c r="D1085" s="72" t="s">
        <v>7</v>
      </c>
      <c r="E1085" s="82"/>
      <c r="F1085" s="83">
        <v>1</v>
      </c>
    </row>
    <row r="1086" s="50" customFormat="1" spans="1:6">
      <c r="A1086" s="76" t="s">
        <v>237</v>
      </c>
      <c r="B1086" s="73" t="str">
        <f>TEXT("20120169",REPT(0,8))</f>
        <v>20120169</v>
      </c>
      <c r="C1086" s="73" t="s">
        <v>426</v>
      </c>
      <c r="D1086" s="72" t="s">
        <v>7</v>
      </c>
      <c r="E1086" s="82"/>
      <c r="F1086" s="83">
        <v>1</v>
      </c>
    </row>
    <row r="1087" s="50" customFormat="1" spans="1:6">
      <c r="A1087" s="76" t="s">
        <v>237</v>
      </c>
      <c r="B1087" s="73" t="str">
        <f>TEXT("20120170",REPT(0,8))</f>
        <v>20120170</v>
      </c>
      <c r="C1087" s="73" t="s">
        <v>426</v>
      </c>
      <c r="D1087" s="72" t="s">
        <v>7</v>
      </c>
      <c r="E1087" s="82"/>
      <c r="F1087" s="83">
        <v>1</v>
      </c>
    </row>
    <row r="1088" spans="1:6">
      <c r="A1088" s="76" t="s">
        <v>237</v>
      </c>
      <c r="B1088" s="83" t="str">
        <f>TEXT("20141043",REPT(0,8))</f>
        <v>20141043</v>
      </c>
      <c r="C1088" s="83" t="s">
        <v>96</v>
      </c>
      <c r="D1088" s="83" t="s">
        <v>7</v>
      </c>
      <c r="F1088" s="83">
        <v>1</v>
      </c>
    </row>
    <row r="1089" spans="1:6">
      <c r="A1089" s="76" t="s">
        <v>237</v>
      </c>
      <c r="B1089" s="83" t="str">
        <f>TEXT("20140774",REPT(0,8))</f>
        <v>20140774</v>
      </c>
      <c r="C1089" s="83" t="s">
        <v>49</v>
      </c>
      <c r="D1089" s="83" t="s">
        <v>7</v>
      </c>
      <c r="F1089" s="83">
        <v>1</v>
      </c>
    </row>
    <row r="1090" spans="1:6">
      <c r="A1090" s="76" t="s">
        <v>237</v>
      </c>
      <c r="B1090" s="83" t="str">
        <f>TEXT("20230290",REPT(0,8))</f>
        <v>20230290</v>
      </c>
      <c r="C1090" s="83" t="s">
        <v>96</v>
      </c>
      <c r="D1090" s="83" t="s">
        <v>7</v>
      </c>
      <c r="F1090" s="83">
        <v>1</v>
      </c>
    </row>
    <row r="1091" spans="1:6">
      <c r="A1091" s="76" t="s">
        <v>237</v>
      </c>
      <c r="B1091" s="83" t="str">
        <f>TEXT("20230291",REPT(0,8))</f>
        <v>20230291</v>
      </c>
      <c r="C1091" s="83" t="s">
        <v>96</v>
      </c>
      <c r="D1091" s="83" t="s">
        <v>7</v>
      </c>
      <c r="F1091" s="83">
        <v>1</v>
      </c>
    </row>
    <row r="1092" spans="1:6">
      <c r="A1092" s="76" t="s">
        <v>237</v>
      </c>
      <c r="B1092" s="83" t="str">
        <f>TEXT("20230292",REPT(0,8))</f>
        <v>20230292</v>
      </c>
      <c r="C1092" s="83" t="s">
        <v>96</v>
      </c>
      <c r="D1092" s="83" t="s">
        <v>7</v>
      </c>
      <c r="F1092" s="83">
        <v>1</v>
      </c>
    </row>
    <row r="1093" spans="1:6">
      <c r="A1093" s="76" t="s">
        <v>237</v>
      </c>
      <c r="B1093" s="83" t="str">
        <f>TEXT("20230293",REPT(0,8))</f>
        <v>20230293</v>
      </c>
      <c r="C1093" s="83" t="s">
        <v>96</v>
      </c>
      <c r="D1093" s="83" t="s">
        <v>7</v>
      </c>
      <c r="F1093" s="83">
        <v>1</v>
      </c>
    </row>
    <row r="1094" spans="1:6">
      <c r="A1094" s="76" t="s">
        <v>237</v>
      </c>
      <c r="B1094" s="83" t="str">
        <f>TEXT("20230294",REPT(0,8))</f>
        <v>20230294</v>
      </c>
      <c r="C1094" s="83" t="s">
        <v>96</v>
      </c>
      <c r="D1094" s="83" t="s">
        <v>7</v>
      </c>
      <c r="F1094" s="83">
        <v>1</v>
      </c>
    </row>
    <row r="1095" spans="1:6">
      <c r="A1095" s="76" t="s">
        <v>237</v>
      </c>
      <c r="B1095" s="83" t="str">
        <f>TEXT("20230295",REPT(0,8))</f>
        <v>20230295</v>
      </c>
      <c r="C1095" s="83" t="s">
        <v>96</v>
      </c>
      <c r="D1095" s="83" t="s">
        <v>7</v>
      </c>
      <c r="F1095" s="83">
        <v>1</v>
      </c>
    </row>
    <row r="1096" spans="1:6">
      <c r="A1096" s="76" t="s">
        <v>237</v>
      </c>
      <c r="B1096" s="83" t="str">
        <f>TEXT("20230296",REPT(0,8))</f>
        <v>20230296</v>
      </c>
      <c r="C1096" s="83" t="s">
        <v>96</v>
      </c>
      <c r="D1096" s="83" t="s">
        <v>7</v>
      </c>
      <c r="F1096" s="83">
        <v>1</v>
      </c>
    </row>
    <row r="1097" spans="1:6">
      <c r="A1097" s="76" t="s">
        <v>237</v>
      </c>
      <c r="B1097" s="83" t="str">
        <f>TEXT("20230297",REPT(0,8))</f>
        <v>20230297</v>
      </c>
      <c r="C1097" s="83" t="s">
        <v>96</v>
      </c>
      <c r="D1097" s="83" t="s">
        <v>7</v>
      </c>
      <c r="F1097" s="83">
        <v>1</v>
      </c>
    </row>
    <row r="1098" spans="1:6">
      <c r="A1098" s="76" t="s">
        <v>237</v>
      </c>
      <c r="B1098" s="83" t="str">
        <f>TEXT("20230298",REPT(0,8))</f>
        <v>20230298</v>
      </c>
      <c r="C1098" s="83" t="s">
        <v>96</v>
      </c>
      <c r="D1098" s="83" t="s">
        <v>7</v>
      </c>
      <c r="F1098" s="83">
        <v>1</v>
      </c>
    </row>
    <row r="1099" spans="1:6">
      <c r="A1099" s="76" t="s">
        <v>237</v>
      </c>
      <c r="B1099" s="83" t="str">
        <f>TEXT("20230299",REPT(0,8))</f>
        <v>20230299</v>
      </c>
      <c r="C1099" s="83" t="s">
        <v>96</v>
      </c>
      <c r="D1099" s="83" t="s">
        <v>7</v>
      </c>
      <c r="F1099" s="83">
        <v>1</v>
      </c>
    </row>
    <row r="1100" spans="1:6">
      <c r="A1100" s="76" t="s">
        <v>237</v>
      </c>
      <c r="B1100" s="83" t="str">
        <f>TEXT("20230300",REPT(0,8))</f>
        <v>20230300</v>
      </c>
      <c r="C1100" s="83" t="s">
        <v>96</v>
      </c>
      <c r="D1100" s="83" t="s">
        <v>7</v>
      </c>
      <c r="F1100" s="83">
        <v>1</v>
      </c>
    </row>
    <row r="1101" spans="1:6">
      <c r="A1101" s="76" t="s">
        <v>237</v>
      </c>
      <c r="B1101" s="83" t="str">
        <f>TEXT("20230301",REPT(0,8))</f>
        <v>20230301</v>
      </c>
      <c r="C1101" s="83" t="s">
        <v>96</v>
      </c>
      <c r="D1101" s="83" t="s">
        <v>7</v>
      </c>
      <c r="F1101" s="83">
        <v>1</v>
      </c>
    </row>
    <row r="1102" spans="1:6">
      <c r="A1102" s="76" t="s">
        <v>237</v>
      </c>
      <c r="B1102" s="83" t="str">
        <f>TEXT("20230302",REPT(0,8))</f>
        <v>20230302</v>
      </c>
      <c r="C1102" s="83" t="s">
        <v>96</v>
      </c>
      <c r="D1102" s="83" t="s">
        <v>7</v>
      </c>
      <c r="F1102" s="83">
        <v>1</v>
      </c>
    </row>
    <row r="1103" spans="1:6">
      <c r="A1103" s="76" t="s">
        <v>237</v>
      </c>
      <c r="B1103" s="83" t="str">
        <f>TEXT("20230303",REPT(0,8))</f>
        <v>20230303</v>
      </c>
      <c r="C1103" s="83" t="s">
        <v>96</v>
      </c>
      <c r="D1103" s="83" t="s">
        <v>7</v>
      </c>
      <c r="F1103" s="83">
        <v>1</v>
      </c>
    </row>
    <row r="1104" spans="1:6">
      <c r="A1104" s="76" t="s">
        <v>237</v>
      </c>
      <c r="B1104" s="83" t="str">
        <f>TEXT("20230304",REPT(0,8))</f>
        <v>20230304</v>
      </c>
      <c r="C1104" s="83" t="s">
        <v>96</v>
      </c>
      <c r="D1104" s="83" t="s">
        <v>7</v>
      </c>
      <c r="F1104" s="83">
        <v>1</v>
      </c>
    </row>
    <row r="1105" spans="1:6">
      <c r="A1105" s="76" t="s">
        <v>237</v>
      </c>
      <c r="B1105" s="83" t="str">
        <f>TEXT("20230305",REPT(0,8))</f>
        <v>20230305</v>
      </c>
      <c r="C1105" s="83" t="s">
        <v>96</v>
      </c>
      <c r="D1105" s="83" t="s">
        <v>7</v>
      </c>
      <c r="F1105" s="83">
        <v>1</v>
      </c>
    </row>
    <row r="1106" spans="1:6">
      <c r="A1106" s="76" t="s">
        <v>237</v>
      </c>
      <c r="B1106" s="83" t="str">
        <f>TEXT("20230306",REPT(0,8))</f>
        <v>20230306</v>
      </c>
      <c r="C1106" s="83" t="s">
        <v>96</v>
      </c>
      <c r="D1106" s="83" t="s">
        <v>7</v>
      </c>
      <c r="F1106" s="83">
        <v>1</v>
      </c>
    </row>
    <row r="1107" spans="1:6">
      <c r="A1107" s="76" t="s">
        <v>237</v>
      </c>
      <c r="B1107" s="83" t="str">
        <f>TEXT("20230307",REPT(0,8))</f>
        <v>20230307</v>
      </c>
      <c r="C1107" s="83" t="s">
        <v>96</v>
      </c>
      <c r="D1107" s="83" t="s">
        <v>7</v>
      </c>
      <c r="F1107" s="83">
        <v>1</v>
      </c>
    </row>
    <row r="1108" spans="1:6">
      <c r="A1108" s="76" t="s">
        <v>237</v>
      </c>
      <c r="B1108" s="83" t="str">
        <f>TEXT("20230308",REPT(0,8))</f>
        <v>20230308</v>
      </c>
      <c r="C1108" s="83" t="s">
        <v>96</v>
      </c>
      <c r="D1108" s="83" t="s">
        <v>7</v>
      </c>
      <c r="F1108" s="83">
        <v>1</v>
      </c>
    </row>
    <row r="1109" spans="1:6">
      <c r="A1109" s="76" t="s">
        <v>237</v>
      </c>
      <c r="B1109" s="83" t="str">
        <f>TEXT("20230309",REPT(0,8))</f>
        <v>20230309</v>
      </c>
      <c r="C1109" s="83" t="s">
        <v>96</v>
      </c>
      <c r="D1109" s="83" t="s">
        <v>7</v>
      </c>
      <c r="F1109" s="83">
        <v>1</v>
      </c>
    </row>
    <row r="1110" spans="1:6">
      <c r="A1110" s="76" t="s">
        <v>237</v>
      </c>
      <c r="B1110" s="83" t="str">
        <f>TEXT("20230310",REPT(0,8))</f>
        <v>20230310</v>
      </c>
      <c r="C1110" s="83" t="s">
        <v>96</v>
      </c>
      <c r="D1110" s="83" t="s">
        <v>7</v>
      </c>
      <c r="F1110" s="83">
        <v>1</v>
      </c>
    </row>
    <row r="1111" spans="1:6">
      <c r="A1111" s="76" t="s">
        <v>237</v>
      </c>
      <c r="B1111" s="83" t="str">
        <f>TEXT("20230311",REPT(0,8))</f>
        <v>20230311</v>
      </c>
      <c r="C1111" s="83" t="s">
        <v>96</v>
      </c>
      <c r="D1111" s="83" t="s">
        <v>7</v>
      </c>
      <c r="F1111" s="83">
        <v>1</v>
      </c>
    </row>
    <row r="1112" spans="1:6">
      <c r="A1112" s="76" t="s">
        <v>237</v>
      </c>
      <c r="B1112" s="83" t="str">
        <f>TEXT("20230312",REPT(0,8))</f>
        <v>20230312</v>
      </c>
      <c r="C1112" s="83" t="s">
        <v>96</v>
      </c>
      <c r="D1112" s="83" t="s">
        <v>7</v>
      </c>
      <c r="F1112" s="83">
        <v>1</v>
      </c>
    </row>
    <row r="1113" spans="1:6">
      <c r="A1113" s="76" t="s">
        <v>237</v>
      </c>
      <c r="B1113" s="83" t="str">
        <f>TEXT("20230313",REPT(0,8))</f>
        <v>20230313</v>
      </c>
      <c r="C1113" s="83" t="s">
        <v>96</v>
      </c>
      <c r="D1113" s="83" t="s">
        <v>7</v>
      </c>
      <c r="F1113" s="83">
        <v>1</v>
      </c>
    </row>
    <row r="1114" spans="1:6">
      <c r="A1114" s="76" t="s">
        <v>237</v>
      </c>
      <c r="B1114" s="83" t="str">
        <f>TEXT("20230314",REPT(0,8))</f>
        <v>20230314</v>
      </c>
      <c r="C1114" s="83" t="s">
        <v>96</v>
      </c>
      <c r="D1114" s="83" t="s">
        <v>7</v>
      </c>
      <c r="F1114" s="83">
        <v>1</v>
      </c>
    </row>
    <row r="1115" spans="1:6">
      <c r="A1115" s="76" t="s">
        <v>237</v>
      </c>
      <c r="B1115" s="83" t="str">
        <f>TEXT("20230315",REPT(0,8))</f>
        <v>20230315</v>
      </c>
      <c r="C1115" s="83" t="s">
        <v>96</v>
      </c>
      <c r="D1115" s="83" t="s">
        <v>7</v>
      </c>
      <c r="F1115" s="83">
        <v>1</v>
      </c>
    </row>
    <row r="1116" spans="1:6">
      <c r="A1116" s="76" t="s">
        <v>237</v>
      </c>
      <c r="B1116" s="83" t="str">
        <f>TEXT("20230316",REPT(0,8))</f>
        <v>20230316</v>
      </c>
      <c r="C1116" s="83" t="s">
        <v>96</v>
      </c>
      <c r="D1116" s="83" t="s">
        <v>7</v>
      </c>
      <c r="F1116" s="83">
        <v>1</v>
      </c>
    </row>
    <row r="1117" spans="1:6">
      <c r="A1117" s="76" t="s">
        <v>237</v>
      </c>
      <c r="B1117" s="83" t="str">
        <f>TEXT("20230317",REPT(0,8))</f>
        <v>20230317</v>
      </c>
      <c r="C1117" s="83" t="s">
        <v>96</v>
      </c>
      <c r="D1117" s="83" t="s">
        <v>7</v>
      </c>
      <c r="F1117" s="83">
        <v>1</v>
      </c>
    </row>
    <row r="1118" spans="1:6">
      <c r="A1118" s="76" t="s">
        <v>237</v>
      </c>
      <c r="B1118" s="83" t="str">
        <f>TEXT("20230318",REPT(0,8))</f>
        <v>20230318</v>
      </c>
      <c r="C1118" s="83" t="s">
        <v>96</v>
      </c>
      <c r="D1118" s="83" t="s">
        <v>7</v>
      </c>
      <c r="F1118" s="83">
        <v>1</v>
      </c>
    </row>
    <row r="1119" spans="1:6">
      <c r="A1119" s="76" t="s">
        <v>237</v>
      </c>
      <c r="B1119" s="83" t="str">
        <f>TEXT("20230319",REPT(0,8))</f>
        <v>20230319</v>
      </c>
      <c r="C1119" s="83" t="s">
        <v>96</v>
      </c>
      <c r="D1119" s="83" t="s">
        <v>7</v>
      </c>
      <c r="F1119" s="83">
        <v>1</v>
      </c>
    </row>
    <row r="1120" spans="1:6">
      <c r="A1120" s="76" t="s">
        <v>237</v>
      </c>
      <c r="B1120" s="83" t="str">
        <f>TEXT("20230320",REPT(0,8))</f>
        <v>20230320</v>
      </c>
      <c r="C1120" s="83" t="s">
        <v>96</v>
      </c>
      <c r="D1120" s="83" t="s">
        <v>7</v>
      </c>
      <c r="F1120" s="83">
        <v>1</v>
      </c>
    </row>
    <row r="1121" spans="1:6">
      <c r="A1121" s="76" t="s">
        <v>237</v>
      </c>
      <c r="B1121" s="83" t="str">
        <f>TEXT("20230321",REPT(0,8))</f>
        <v>20230321</v>
      </c>
      <c r="C1121" s="83" t="s">
        <v>96</v>
      </c>
      <c r="D1121" s="83" t="s">
        <v>7</v>
      </c>
      <c r="F1121" s="83">
        <v>1</v>
      </c>
    </row>
    <row r="1122" spans="1:6">
      <c r="A1122" s="76" t="s">
        <v>237</v>
      </c>
      <c r="B1122" s="83" t="str">
        <f>TEXT("20230322",REPT(0,8))</f>
        <v>20230322</v>
      </c>
      <c r="C1122" s="83" t="s">
        <v>96</v>
      </c>
      <c r="D1122" s="83" t="s">
        <v>7</v>
      </c>
      <c r="F1122" s="83">
        <v>1</v>
      </c>
    </row>
    <row r="1123" spans="1:6">
      <c r="A1123" s="76" t="s">
        <v>237</v>
      </c>
      <c r="B1123" s="83" t="str">
        <f>TEXT("20230323",REPT(0,8))</f>
        <v>20230323</v>
      </c>
      <c r="C1123" s="83" t="s">
        <v>96</v>
      </c>
      <c r="D1123" s="83" t="s">
        <v>7</v>
      </c>
      <c r="F1123" s="83">
        <v>1</v>
      </c>
    </row>
    <row r="1124" spans="1:6">
      <c r="A1124" s="76" t="s">
        <v>237</v>
      </c>
      <c r="B1124" s="83" t="str">
        <f>TEXT("20230324",REPT(0,8))</f>
        <v>20230324</v>
      </c>
      <c r="C1124" s="83" t="s">
        <v>96</v>
      </c>
      <c r="D1124" s="83" t="s">
        <v>7</v>
      </c>
      <c r="F1124" s="83">
        <v>1</v>
      </c>
    </row>
    <row r="1125" spans="1:6">
      <c r="A1125" s="76" t="s">
        <v>237</v>
      </c>
      <c r="B1125" s="83" t="str">
        <f>TEXT("20230325",REPT(0,8))</f>
        <v>20230325</v>
      </c>
      <c r="C1125" s="83" t="s">
        <v>96</v>
      </c>
      <c r="D1125" s="83" t="s">
        <v>7</v>
      </c>
      <c r="F1125" s="83">
        <v>1</v>
      </c>
    </row>
    <row r="1126" spans="1:6">
      <c r="A1126" s="76" t="s">
        <v>237</v>
      </c>
      <c r="B1126" s="83" t="str">
        <f>TEXT("20230326",REPT(0,8))</f>
        <v>20230326</v>
      </c>
      <c r="C1126" s="83" t="s">
        <v>96</v>
      </c>
      <c r="D1126" s="83" t="s">
        <v>7</v>
      </c>
      <c r="F1126" s="83">
        <v>1</v>
      </c>
    </row>
    <row r="1127" spans="1:6">
      <c r="A1127" s="76" t="s">
        <v>237</v>
      </c>
      <c r="B1127" s="83" t="str">
        <f>TEXT("20230327",REPT(0,8))</f>
        <v>20230327</v>
      </c>
      <c r="C1127" s="83" t="s">
        <v>96</v>
      </c>
      <c r="D1127" s="83" t="s">
        <v>7</v>
      </c>
      <c r="F1127" s="83">
        <v>1</v>
      </c>
    </row>
    <row r="1128" spans="1:6">
      <c r="A1128" s="76" t="s">
        <v>237</v>
      </c>
      <c r="B1128" s="83" t="str">
        <f>TEXT("20230328",REPT(0,8))</f>
        <v>20230328</v>
      </c>
      <c r="C1128" s="83" t="s">
        <v>96</v>
      </c>
      <c r="D1128" s="83" t="s">
        <v>7</v>
      </c>
      <c r="F1128" s="83">
        <v>1</v>
      </c>
    </row>
    <row r="1129" spans="1:6">
      <c r="A1129" s="76" t="s">
        <v>237</v>
      </c>
      <c r="B1129" s="83" t="str">
        <f>TEXT("20230329",REPT(0,8))</f>
        <v>20230329</v>
      </c>
      <c r="C1129" s="83" t="s">
        <v>96</v>
      </c>
      <c r="D1129" s="83" t="s">
        <v>7</v>
      </c>
      <c r="F1129" s="83">
        <v>1</v>
      </c>
    </row>
    <row r="1130" spans="1:6">
      <c r="A1130" s="76" t="s">
        <v>237</v>
      </c>
      <c r="B1130" s="83" t="str">
        <f>TEXT("20230330",REPT(0,8))</f>
        <v>20230330</v>
      </c>
      <c r="C1130" s="83" t="s">
        <v>96</v>
      </c>
      <c r="D1130" s="83" t="s">
        <v>7</v>
      </c>
      <c r="F1130" s="83">
        <v>1</v>
      </c>
    </row>
    <row r="1131" spans="1:6">
      <c r="A1131" s="76" t="s">
        <v>237</v>
      </c>
      <c r="B1131" s="83" t="str">
        <f>TEXT("20230470",REPT(0,8))</f>
        <v>20230470</v>
      </c>
      <c r="C1131" s="83" t="s">
        <v>433</v>
      </c>
      <c r="D1131" s="83" t="s">
        <v>7</v>
      </c>
      <c r="F1131" s="83">
        <v>1</v>
      </c>
    </row>
    <row r="1132" spans="1:6">
      <c r="A1132" s="76" t="s">
        <v>237</v>
      </c>
      <c r="B1132" s="83" t="str">
        <f>TEXT("20230471",REPT(0,8))</f>
        <v>20230471</v>
      </c>
      <c r="C1132" s="83" t="s">
        <v>286</v>
      </c>
      <c r="D1132" s="83" t="s">
        <v>7</v>
      </c>
      <c r="F1132" s="83">
        <v>1</v>
      </c>
    </row>
    <row r="1133" spans="1:6">
      <c r="A1133" s="76" t="s">
        <v>237</v>
      </c>
      <c r="B1133" s="83" t="str">
        <f>TEXT("20230499",REPT(0,8))</f>
        <v>20230499</v>
      </c>
      <c r="C1133" s="83" t="s">
        <v>434</v>
      </c>
      <c r="D1133" s="83" t="s">
        <v>7</v>
      </c>
      <c r="F1133" s="83">
        <v>1</v>
      </c>
    </row>
    <row r="1134" spans="1:6">
      <c r="A1134" s="76" t="s">
        <v>237</v>
      </c>
      <c r="B1134" s="83" t="str">
        <f>TEXT("20230500",REPT(0,8))</f>
        <v>20230500</v>
      </c>
      <c r="C1134" s="83" t="s">
        <v>435</v>
      </c>
      <c r="D1134" s="83" t="s">
        <v>7</v>
      </c>
      <c r="F1134" s="83">
        <v>1</v>
      </c>
    </row>
    <row r="1135" spans="1:6">
      <c r="A1135" s="76" t="s">
        <v>237</v>
      </c>
      <c r="B1135" s="83" t="str">
        <f>TEXT("20230501",REPT(0,8))</f>
        <v>20230501</v>
      </c>
      <c r="C1135" s="83" t="s">
        <v>435</v>
      </c>
      <c r="D1135" s="83" t="s">
        <v>7</v>
      </c>
      <c r="F1135" s="83">
        <v>1</v>
      </c>
    </row>
    <row r="1136" spans="1:6">
      <c r="A1136" s="76" t="s">
        <v>237</v>
      </c>
      <c r="B1136" s="83" t="str">
        <f>TEXT("20230502",REPT(0,8))</f>
        <v>20230502</v>
      </c>
      <c r="C1136" s="83" t="s">
        <v>436</v>
      </c>
      <c r="D1136" s="83" t="s">
        <v>7</v>
      </c>
      <c r="F1136" s="83">
        <v>1</v>
      </c>
    </row>
    <row r="1137" spans="1:6">
      <c r="A1137" s="76" t="s">
        <v>237</v>
      </c>
      <c r="B1137" s="83" t="str">
        <f>TEXT("20230503",REPT(0,8))</f>
        <v>20230503</v>
      </c>
      <c r="C1137" s="83" t="s">
        <v>437</v>
      </c>
      <c r="D1137" s="83" t="s">
        <v>7</v>
      </c>
      <c r="F1137" s="83">
        <v>1</v>
      </c>
    </row>
    <row r="1138" spans="1:6">
      <c r="A1138" s="76" t="s">
        <v>237</v>
      </c>
      <c r="B1138" s="83" t="str">
        <f>TEXT("20230504",REPT(0,8))</f>
        <v>20230504</v>
      </c>
      <c r="C1138" s="83" t="s">
        <v>438</v>
      </c>
      <c r="D1138" s="83" t="s">
        <v>7</v>
      </c>
      <c r="F1138" s="83">
        <v>1</v>
      </c>
    </row>
    <row r="1139" spans="1:6">
      <c r="A1139" s="76" t="s">
        <v>237</v>
      </c>
      <c r="B1139" s="83" t="str">
        <f>TEXT("20240754",REPT(0,8))</f>
        <v>20240754</v>
      </c>
      <c r="C1139" s="83" t="s">
        <v>439</v>
      </c>
      <c r="D1139" s="83" t="s">
        <v>7</v>
      </c>
      <c r="F1139" s="83">
        <v>1</v>
      </c>
    </row>
    <row r="1140" spans="1:6">
      <c r="A1140" s="76" t="s">
        <v>237</v>
      </c>
      <c r="B1140" s="83" t="str">
        <f>TEXT("20240705",REPT(0,8))</f>
        <v>20240705</v>
      </c>
      <c r="C1140" s="83" t="s">
        <v>440</v>
      </c>
      <c r="D1140" s="83" t="s">
        <v>7</v>
      </c>
      <c r="F1140" s="83">
        <v>1</v>
      </c>
    </row>
    <row r="1141" spans="1:6">
      <c r="A1141" s="76" t="s">
        <v>237</v>
      </c>
      <c r="B1141" s="83" t="s">
        <v>441</v>
      </c>
      <c r="C1141" s="83" t="s">
        <v>442</v>
      </c>
      <c r="D1141" s="83" t="s">
        <v>7</v>
      </c>
      <c r="F1141" s="83">
        <v>1</v>
      </c>
    </row>
    <row r="1142" spans="1:6">
      <c r="A1142" s="76" t="s">
        <v>237</v>
      </c>
      <c r="B1142" s="83" t="s">
        <v>443</v>
      </c>
      <c r="C1142" s="83" t="s">
        <v>123</v>
      </c>
      <c r="D1142" s="83" t="s">
        <v>7</v>
      </c>
      <c r="F1142" s="83">
        <v>1</v>
      </c>
    </row>
    <row r="1143" spans="1:6">
      <c r="A1143" s="76" t="s">
        <v>237</v>
      </c>
      <c r="B1143" s="83" t="s">
        <v>444</v>
      </c>
      <c r="C1143" s="83" t="s">
        <v>123</v>
      </c>
      <c r="D1143" s="83" t="s">
        <v>7</v>
      </c>
      <c r="F1143" s="83">
        <v>1</v>
      </c>
    </row>
    <row r="1144" spans="1:6">
      <c r="A1144" s="76" t="s">
        <v>237</v>
      </c>
      <c r="B1144" s="83" t="s">
        <v>445</v>
      </c>
      <c r="C1144" s="83" t="s">
        <v>123</v>
      </c>
      <c r="D1144" s="83" t="s">
        <v>7</v>
      </c>
      <c r="F1144" s="83">
        <v>1</v>
      </c>
    </row>
    <row r="1145" spans="1:6">
      <c r="A1145" s="76" t="s">
        <v>237</v>
      </c>
      <c r="B1145" s="83" t="s">
        <v>446</v>
      </c>
      <c r="C1145" s="83" t="s">
        <v>123</v>
      </c>
      <c r="D1145" s="83" t="s">
        <v>7</v>
      </c>
      <c r="F1145" s="83">
        <v>1</v>
      </c>
    </row>
    <row r="1146" spans="1:6">
      <c r="A1146" s="76" t="s">
        <v>237</v>
      </c>
      <c r="B1146" s="83" t="s">
        <v>447</v>
      </c>
      <c r="C1146" s="83" t="s">
        <v>123</v>
      </c>
      <c r="D1146" s="83" t="s">
        <v>7</v>
      </c>
      <c r="F1146" s="83">
        <v>1</v>
      </c>
    </row>
    <row r="1147" spans="1:6">
      <c r="A1147" s="76" t="s">
        <v>237</v>
      </c>
      <c r="B1147" s="83" t="s">
        <v>448</v>
      </c>
      <c r="C1147" s="83" t="s">
        <v>123</v>
      </c>
      <c r="D1147" s="83" t="s">
        <v>7</v>
      </c>
      <c r="F1147" s="83">
        <v>1</v>
      </c>
    </row>
    <row r="1148" spans="1:6">
      <c r="A1148" s="76" t="s">
        <v>237</v>
      </c>
      <c r="B1148" s="83" t="s">
        <v>449</v>
      </c>
      <c r="C1148" s="83" t="s">
        <v>123</v>
      </c>
      <c r="D1148" s="83" t="s">
        <v>7</v>
      </c>
      <c r="F1148" s="83">
        <v>1</v>
      </c>
    </row>
    <row r="1149" spans="1:6">
      <c r="A1149" s="76" t="s">
        <v>237</v>
      </c>
      <c r="B1149" s="83" t="s">
        <v>450</v>
      </c>
      <c r="C1149" s="83" t="s">
        <v>123</v>
      </c>
      <c r="D1149" s="83" t="s">
        <v>7</v>
      </c>
      <c r="F1149" s="83">
        <v>1</v>
      </c>
    </row>
    <row r="1150" spans="1:6">
      <c r="A1150" s="76" t="s">
        <v>237</v>
      </c>
      <c r="B1150" s="83" t="s">
        <v>451</v>
      </c>
      <c r="C1150" s="83" t="s">
        <v>123</v>
      </c>
      <c r="D1150" s="83" t="s">
        <v>7</v>
      </c>
      <c r="F1150" s="83">
        <v>1</v>
      </c>
    </row>
    <row r="1151" spans="1:6">
      <c r="A1151" s="76" t="s">
        <v>237</v>
      </c>
      <c r="B1151" s="83" t="s">
        <v>452</v>
      </c>
      <c r="C1151" s="83" t="s">
        <v>123</v>
      </c>
      <c r="D1151" s="83" t="s">
        <v>7</v>
      </c>
      <c r="F1151" s="83">
        <v>1</v>
      </c>
    </row>
    <row r="1152" spans="1:6">
      <c r="A1152" s="76" t="s">
        <v>237</v>
      </c>
      <c r="B1152" s="83" t="s">
        <v>453</v>
      </c>
      <c r="C1152" s="83" t="s">
        <v>454</v>
      </c>
      <c r="D1152" s="83" t="s">
        <v>7</v>
      </c>
      <c r="F1152" s="83">
        <v>1</v>
      </c>
    </row>
    <row r="1153" spans="1:6">
      <c r="A1153" s="76" t="s">
        <v>237</v>
      </c>
      <c r="B1153" s="83" t="s">
        <v>455</v>
      </c>
      <c r="C1153" s="83" t="s">
        <v>123</v>
      </c>
      <c r="D1153" s="83" t="s">
        <v>7</v>
      </c>
      <c r="F1153" s="83">
        <v>1</v>
      </c>
    </row>
    <row r="1154" spans="1:6">
      <c r="A1154" s="76" t="s">
        <v>237</v>
      </c>
      <c r="B1154" s="83" t="s">
        <v>456</v>
      </c>
      <c r="C1154" s="83" t="s">
        <v>123</v>
      </c>
      <c r="D1154" s="83" t="s">
        <v>7</v>
      </c>
      <c r="F1154" s="83">
        <v>1</v>
      </c>
    </row>
    <row r="1155" spans="1:6">
      <c r="A1155" s="76" t="s">
        <v>237</v>
      </c>
      <c r="B1155" s="83" t="s">
        <v>457</v>
      </c>
      <c r="C1155" s="83" t="s">
        <v>123</v>
      </c>
      <c r="D1155" s="83" t="s">
        <v>7</v>
      </c>
      <c r="F1155" s="83">
        <v>1</v>
      </c>
    </row>
    <row r="1156" spans="1:6">
      <c r="A1156" s="76" t="s">
        <v>237</v>
      </c>
      <c r="B1156" s="83" t="s">
        <v>458</v>
      </c>
      <c r="C1156" s="83" t="s">
        <v>123</v>
      </c>
      <c r="D1156" s="83" t="s">
        <v>7</v>
      </c>
      <c r="F1156" s="83">
        <v>1</v>
      </c>
    </row>
    <row r="1157" spans="1:6">
      <c r="A1157" s="76" t="s">
        <v>237</v>
      </c>
      <c r="B1157" s="83" t="s">
        <v>459</v>
      </c>
      <c r="C1157" s="83" t="s">
        <v>123</v>
      </c>
      <c r="D1157" s="83" t="s">
        <v>7</v>
      </c>
      <c r="F1157" s="83">
        <v>1</v>
      </c>
    </row>
    <row r="1158" spans="1:6">
      <c r="A1158" s="76" t="s">
        <v>237</v>
      </c>
      <c r="B1158" s="83" t="s">
        <v>460</v>
      </c>
      <c r="C1158" s="83" t="s">
        <v>123</v>
      </c>
      <c r="D1158" s="83" t="s">
        <v>7</v>
      </c>
      <c r="F1158" s="83">
        <v>1</v>
      </c>
    </row>
    <row r="1159" spans="1:6">
      <c r="A1159" s="76" t="s">
        <v>237</v>
      </c>
      <c r="B1159" s="83" t="s">
        <v>461</v>
      </c>
      <c r="C1159" s="83" t="s">
        <v>123</v>
      </c>
      <c r="D1159" s="83" t="s">
        <v>7</v>
      </c>
      <c r="F1159" s="83">
        <v>1</v>
      </c>
    </row>
    <row r="1160" spans="1:6">
      <c r="A1160" s="76" t="s">
        <v>237</v>
      </c>
      <c r="B1160" s="83" t="s">
        <v>462</v>
      </c>
      <c r="C1160" s="83" t="s">
        <v>123</v>
      </c>
      <c r="D1160" s="83" t="s">
        <v>7</v>
      </c>
      <c r="F1160" s="83">
        <v>1</v>
      </c>
    </row>
    <row r="1161" spans="1:6">
      <c r="A1161" s="76" t="s">
        <v>237</v>
      </c>
      <c r="B1161" s="83" t="s">
        <v>463</v>
      </c>
      <c r="C1161" s="83" t="s">
        <v>123</v>
      </c>
      <c r="D1161" s="83" t="s">
        <v>7</v>
      </c>
      <c r="F1161" s="83">
        <v>1</v>
      </c>
    </row>
    <row r="1162" spans="1:6">
      <c r="A1162" s="76" t="s">
        <v>237</v>
      </c>
      <c r="B1162" s="83" t="s">
        <v>464</v>
      </c>
      <c r="C1162" s="83" t="s">
        <v>123</v>
      </c>
      <c r="D1162" s="83" t="s">
        <v>7</v>
      </c>
      <c r="F1162" s="83">
        <v>1</v>
      </c>
    </row>
    <row r="1163" spans="1:6">
      <c r="A1163" s="76" t="s">
        <v>237</v>
      </c>
      <c r="B1163" s="83" t="s">
        <v>465</v>
      </c>
      <c r="C1163" s="83" t="s">
        <v>283</v>
      </c>
      <c r="D1163" s="83" t="s">
        <v>7</v>
      </c>
      <c r="F1163" s="83">
        <v>1</v>
      </c>
    </row>
    <row r="1164" spans="1:6">
      <c r="A1164" s="76" t="s">
        <v>237</v>
      </c>
      <c r="B1164" s="83" t="s">
        <v>466</v>
      </c>
      <c r="C1164" s="83" t="s">
        <v>287</v>
      </c>
      <c r="D1164" s="83" t="s">
        <v>7</v>
      </c>
      <c r="F1164" s="83">
        <v>1</v>
      </c>
    </row>
    <row r="1165" spans="1:6">
      <c r="A1165" s="76" t="s">
        <v>237</v>
      </c>
      <c r="B1165" s="83" t="s">
        <v>467</v>
      </c>
      <c r="C1165" s="83" t="s">
        <v>286</v>
      </c>
      <c r="D1165" s="83" t="s">
        <v>7</v>
      </c>
      <c r="F1165" s="83">
        <v>1</v>
      </c>
    </row>
    <row r="1166" spans="1:6">
      <c r="A1166" s="76" t="s">
        <v>237</v>
      </c>
      <c r="B1166" s="83" t="s">
        <v>468</v>
      </c>
      <c r="C1166" s="83" t="s">
        <v>469</v>
      </c>
      <c r="D1166" s="83" t="s">
        <v>7</v>
      </c>
      <c r="F1166" s="83">
        <v>1</v>
      </c>
    </row>
    <row r="1167" spans="1:6">
      <c r="A1167" s="76" t="s">
        <v>237</v>
      </c>
      <c r="B1167" s="83" t="s">
        <v>470</v>
      </c>
      <c r="C1167" s="83" t="s">
        <v>471</v>
      </c>
      <c r="D1167" s="83" t="s">
        <v>7</v>
      </c>
      <c r="F1167" s="83">
        <v>1</v>
      </c>
    </row>
    <row r="1168" spans="1:6">
      <c r="A1168" s="76" t="s">
        <v>237</v>
      </c>
      <c r="B1168" s="83" t="s">
        <v>472</v>
      </c>
      <c r="C1168" s="83" t="s">
        <v>471</v>
      </c>
      <c r="D1168" s="83" t="s">
        <v>7</v>
      </c>
      <c r="F1168" s="83">
        <v>1</v>
      </c>
    </row>
    <row r="1169" spans="1:6">
      <c r="A1169" s="76" t="s">
        <v>237</v>
      </c>
      <c r="B1169" s="83" t="str">
        <f>TEXT("20240737",REPT(0,8))</f>
        <v>20240737</v>
      </c>
      <c r="C1169" s="83" t="s">
        <v>473</v>
      </c>
      <c r="D1169" s="83" t="s">
        <v>7</v>
      </c>
      <c r="F1169" s="83">
        <v>1</v>
      </c>
    </row>
    <row r="1170" spans="1:6">
      <c r="A1170" s="76" t="s">
        <v>237</v>
      </c>
      <c r="B1170" s="83" t="str">
        <f>TEXT("20240744",REPT(0,8))</f>
        <v>20240744</v>
      </c>
      <c r="C1170" s="83" t="s">
        <v>474</v>
      </c>
      <c r="D1170" s="83" t="s">
        <v>7</v>
      </c>
      <c r="F1170" s="83">
        <v>1</v>
      </c>
    </row>
    <row r="1171" spans="1:6">
      <c r="A1171" s="76" t="s">
        <v>237</v>
      </c>
      <c r="B1171" s="83" t="str">
        <f>TEXT("20240882",REPT(0,8))</f>
        <v>20240882</v>
      </c>
      <c r="C1171" s="83" t="s">
        <v>475</v>
      </c>
      <c r="D1171" s="83" t="s">
        <v>7</v>
      </c>
      <c r="F1171" s="83">
        <v>1</v>
      </c>
    </row>
    <row r="1172" spans="1:6">
      <c r="A1172" s="76" t="s">
        <v>237</v>
      </c>
      <c r="B1172" s="83" t="str">
        <f>TEXT("20140337",REPT(0,8))</f>
        <v>20140337</v>
      </c>
      <c r="C1172" s="83" t="s">
        <v>96</v>
      </c>
      <c r="D1172" s="83" t="s">
        <v>7</v>
      </c>
      <c r="E1172" s="82" t="s">
        <v>476</v>
      </c>
      <c r="F1172" s="83">
        <v>1</v>
      </c>
    </row>
    <row r="1173" s="76" customFormat="1" spans="1:2565">
      <c r="A1173" s="76" t="s">
        <v>237</v>
      </c>
      <c r="B1173" s="83" t="str">
        <f>TEXT("20140338",REPT(0,8))</f>
        <v>20140338</v>
      </c>
      <c r="C1173" s="83" t="s">
        <v>49</v>
      </c>
      <c r="D1173" s="83" t="s">
        <v>7</v>
      </c>
      <c r="E1173" s="82"/>
      <c r="F1173" s="83">
        <v>1</v>
      </c>
      <c r="JA1173" s="50"/>
      <c r="SW1173" s="50"/>
      <c r="ACS1173" s="50"/>
      <c r="AMO1173" s="50"/>
      <c r="AWK1173" s="50"/>
      <c r="BGG1173" s="50"/>
      <c r="BQC1173" s="50"/>
      <c r="BZY1173" s="50"/>
      <c r="CJU1173" s="50"/>
      <c r="CTQ1173" s="50"/>
    </row>
    <row r="1174" s="76" customFormat="1" spans="1:2565">
      <c r="A1174" s="76" t="s">
        <v>237</v>
      </c>
      <c r="B1174" s="83" t="str">
        <f>TEXT("20140339",REPT(0,8))</f>
        <v>20140339</v>
      </c>
      <c r="C1174" s="83" t="s">
        <v>49</v>
      </c>
      <c r="D1174" s="83" t="s">
        <v>7</v>
      </c>
      <c r="E1174" s="82"/>
      <c r="F1174" s="83">
        <v>1</v>
      </c>
      <c r="JA1174" s="50"/>
      <c r="SW1174" s="50"/>
      <c r="ACS1174" s="50"/>
      <c r="AMO1174" s="50"/>
      <c r="AWK1174" s="50"/>
      <c r="BGG1174" s="50"/>
      <c r="BQC1174" s="50"/>
      <c r="BZY1174" s="50"/>
      <c r="CJU1174" s="50"/>
      <c r="CTQ1174" s="50"/>
    </row>
    <row r="1175" s="76" customFormat="1" spans="1:2565">
      <c r="A1175" s="76" t="s">
        <v>237</v>
      </c>
      <c r="B1175" s="83" t="str">
        <f>TEXT("20140659",REPT(0,8))</f>
        <v>20140659</v>
      </c>
      <c r="C1175" s="83" t="s">
        <v>477</v>
      </c>
      <c r="D1175" s="83" t="s">
        <v>7</v>
      </c>
      <c r="E1175" s="82"/>
      <c r="F1175" s="83">
        <v>1</v>
      </c>
      <c r="JA1175" s="50"/>
      <c r="SW1175" s="50"/>
      <c r="ACS1175" s="50"/>
      <c r="AMO1175" s="50"/>
      <c r="AWK1175" s="50"/>
      <c r="BGG1175" s="50"/>
      <c r="BQC1175" s="50"/>
      <c r="BZY1175" s="50"/>
      <c r="CJU1175" s="50"/>
      <c r="CTQ1175" s="50"/>
    </row>
    <row r="1176" spans="1:6">
      <c r="A1176" s="76" t="s">
        <v>237</v>
      </c>
      <c r="B1176" s="83" t="str">
        <f>TEXT("20230220",REPT(0,8))</f>
        <v>20230220</v>
      </c>
      <c r="C1176" s="83" t="s">
        <v>478</v>
      </c>
      <c r="D1176" s="83" t="s">
        <v>7</v>
      </c>
      <c r="F1176" s="83">
        <v>1</v>
      </c>
    </row>
    <row r="1177" spans="1:6">
      <c r="A1177" s="76" t="s">
        <v>237</v>
      </c>
      <c r="B1177" s="83" t="str">
        <f>TEXT("20180315",REPT(0,8))</f>
        <v>20180315</v>
      </c>
      <c r="C1177" s="83" t="s">
        <v>182</v>
      </c>
      <c r="D1177" s="83" t="s">
        <v>7</v>
      </c>
      <c r="F1177" s="83">
        <v>1</v>
      </c>
    </row>
    <row r="1178" spans="1:6">
      <c r="A1178" s="76" t="s">
        <v>237</v>
      </c>
      <c r="B1178" s="83" t="str">
        <f>TEXT("20200283",REPT(0,8))</f>
        <v>20200283</v>
      </c>
      <c r="C1178" s="83" t="s">
        <v>479</v>
      </c>
      <c r="D1178" s="83" t="s">
        <v>7</v>
      </c>
      <c r="F1178" s="83">
        <v>1</v>
      </c>
    </row>
    <row r="1179" spans="1:6">
      <c r="A1179" s="76" t="s">
        <v>237</v>
      </c>
      <c r="B1179" s="83" t="str">
        <f>TEXT("20200284",REPT(0,8))</f>
        <v>20200284</v>
      </c>
      <c r="C1179" s="83" t="s">
        <v>479</v>
      </c>
      <c r="D1179" s="83" t="s">
        <v>7</v>
      </c>
      <c r="F1179" s="83">
        <v>1</v>
      </c>
    </row>
    <row r="1180" spans="1:6">
      <c r="A1180" s="76" t="s">
        <v>237</v>
      </c>
      <c r="B1180" s="83" t="str">
        <f>TEXT("20200285",REPT(0,8))</f>
        <v>20200285</v>
      </c>
      <c r="C1180" s="83" t="s">
        <v>479</v>
      </c>
      <c r="D1180" s="83" t="s">
        <v>7</v>
      </c>
      <c r="F1180" s="83">
        <v>1</v>
      </c>
    </row>
    <row r="1181" spans="1:6">
      <c r="A1181" s="76" t="s">
        <v>237</v>
      </c>
      <c r="B1181" s="83" t="str">
        <f>TEXT("20200286",REPT(0,8))</f>
        <v>20200286</v>
      </c>
      <c r="C1181" s="83" t="s">
        <v>479</v>
      </c>
      <c r="D1181" s="83" t="s">
        <v>7</v>
      </c>
      <c r="F1181" s="83">
        <v>1</v>
      </c>
    </row>
    <row r="1182" spans="1:6">
      <c r="A1182" s="76" t="s">
        <v>237</v>
      </c>
      <c r="B1182" s="83" t="str">
        <f>TEXT("20210849",REPT(0,8))</f>
        <v>20210849</v>
      </c>
      <c r="C1182" s="83" t="s">
        <v>103</v>
      </c>
      <c r="D1182" s="83" t="s">
        <v>7</v>
      </c>
      <c r="F1182" s="83">
        <v>1</v>
      </c>
    </row>
    <row r="1183" spans="1:6">
      <c r="A1183" s="76" t="s">
        <v>237</v>
      </c>
      <c r="B1183" s="83" t="str">
        <f>TEXT("20210850",REPT(0,8))</f>
        <v>20210850</v>
      </c>
      <c r="C1183" s="83" t="s">
        <v>103</v>
      </c>
      <c r="D1183" s="83" t="s">
        <v>7</v>
      </c>
      <c r="F1183" s="83">
        <v>1</v>
      </c>
    </row>
    <row r="1184" spans="1:6">
      <c r="A1184" s="76" t="s">
        <v>237</v>
      </c>
      <c r="B1184" s="83" t="str">
        <f>TEXT("20210851",REPT(0,8))</f>
        <v>20210851</v>
      </c>
      <c r="C1184" s="83" t="s">
        <v>103</v>
      </c>
      <c r="D1184" s="83" t="s">
        <v>7</v>
      </c>
      <c r="F1184" s="83">
        <v>1</v>
      </c>
    </row>
    <row r="1185" spans="1:6">
      <c r="A1185" s="76" t="s">
        <v>237</v>
      </c>
      <c r="B1185" s="83" t="str">
        <f>TEXT("20210852",REPT(0,8))</f>
        <v>20210852</v>
      </c>
      <c r="C1185" s="83" t="s">
        <v>103</v>
      </c>
      <c r="D1185" s="83" t="s">
        <v>7</v>
      </c>
      <c r="F1185" s="83">
        <v>1</v>
      </c>
    </row>
    <row r="1186" spans="1:6">
      <c r="A1186" s="76" t="s">
        <v>237</v>
      </c>
      <c r="B1186" s="83" t="str">
        <f>TEXT("20210853",REPT(0,8))</f>
        <v>20210853</v>
      </c>
      <c r="C1186" s="83" t="s">
        <v>103</v>
      </c>
      <c r="D1186" s="83" t="s">
        <v>7</v>
      </c>
      <c r="F1186" s="83">
        <v>1</v>
      </c>
    </row>
    <row r="1187" spans="1:6">
      <c r="A1187" s="76" t="s">
        <v>237</v>
      </c>
      <c r="B1187" s="83" t="str">
        <f>TEXT("20210854",REPT(0,8))</f>
        <v>20210854</v>
      </c>
      <c r="C1187" s="83" t="s">
        <v>103</v>
      </c>
      <c r="D1187" s="83" t="s">
        <v>7</v>
      </c>
      <c r="F1187" s="83">
        <v>1</v>
      </c>
    </row>
    <row r="1188" spans="1:6">
      <c r="A1188" s="76" t="s">
        <v>237</v>
      </c>
      <c r="B1188" s="83" t="str">
        <f>TEXT("20210855",REPT(0,8))</f>
        <v>20210855</v>
      </c>
      <c r="C1188" s="83" t="s">
        <v>103</v>
      </c>
      <c r="D1188" s="83" t="s">
        <v>7</v>
      </c>
      <c r="F1188" s="83">
        <v>1</v>
      </c>
    </row>
    <row r="1189" spans="1:6">
      <c r="A1189" s="76" t="s">
        <v>237</v>
      </c>
      <c r="B1189" s="83" t="str">
        <f>TEXT("20210856",REPT(0,8))</f>
        <v>20210856</v>
      </c>
      <c r="C1189" s="83" t="s">
        <v>103</v>
      </c>
      <c r="D1189" s="83" t="s">
        <v>7</v>
      </c>
      <c r="F1189" s="83">
        <v>1</v>
      </c>
    </row>
    <row r="1190" spans="1:6">
      <c r="A1190" s="76" t="s">
        <v>237</v>
      </c>
      <c r="B1190" s="83" t="str">
        <f>TEXT("20210877",REPT(0,8))</f>
        <v>20210877</v>
      </c>
      <c r="C1190" s="83" t="s">
        <v>480</v>
      </c>
      <c r="D1190" s="83" t="s">
        <v>7</v>
      </c>
      <c r="F1190" s="83">
        <v>1</v>
      </c>
    </row>
    <row r="1191" spans="1:6">
      <c r="A1191" s="76" t="s">
        <v>237</v>
      </c>
      <c r="B1191" s="83" t="str">
        <f>TEXT("20180302",REPT(0,8))</f>
        <v>20180302</v>
      </c>
      <c r="C1191" s="83" t="s">
        <v>481</v>
      </c>
      <c r="D1191" s="83" t="s">
        <v>7</v>
      </c>
      <c r="F1191" s="83">
        <v>1</v>
      </c>
    </row>
    <row r="1192" spans="1:6">
      <c r="A1192" s="76" t="s">
        <v>237</v>
      </c>
      <c r="B1192" s="83" t="str">
        <f>TEXT("20180303",REPT(0,8))</f>
        <v>20180303</v>
      </c>
      <c r="C1192" s="83" t="s">
        <v>481</v>
      </c>
      <c r="D1192" s="83" t="s">
        <v>7</v>
      </c>
      <c r="F1192" s="83">
        <v>1</v>
      </c>
    </row>
    <row r="1193" spans="1:6">
      <c r="A1193" s="76" t="s">
        <v>237</v>
      </c>
      <c r="B1193" s="83" t="str">
        <f>TEXT("20180304",REPT(0,8))</f>
        <v>20180304</v>
      </c>
      <c r="C1193" s="83" t="s">
        <v>481</v>
      </c>
      <c r="D1193" s="83" t="s">
        <v>7</v>
      </c>
      <c r="F1193" s="83">
        <v>1</v>
      </c>
    </row>
    <row r="1194" spans="1:6">
      <c r="A1194" s="76" t="s">
        <v>237</v>
      </c>
      <c r="B1194" s="83" t="str">
        <f>TEXT("20180305",REPT(0,8))</f>
        <v>20180305</v>
      </c>
      <c r="C1194" s="83" t="s">
        <v>481</v>
      </c>
      <c r="D1194" s="83" t="s">
        <v>7</v>
      </c>
      <c r="F1194" s="83">
        <v>1</v>
      </c>
    </row>
    <row r="1195" spans="1:6">
      <c r="A1195" s="76" t="s">
        <v>237</v>
      </c>
      <c r="B1195" s="83" t="str">
        <f>TEXT("20181101",REPT(0,8))</f>
        <v>20181101</v>
      </c>
      <c r="C1195" s="83" t="s">
        <v>96</v>
      </c>
      <c r="D1195" s="83" t="s">
        <v>7</v>
      </c>
      <c r="F1195" s="83">
        <v>1</v>
      </c>
    </row>
    <row r="1196" spans="1:6">
      <c r="A1196" s="76" t="s">
        <v>237</v>
      </c>
      <c r="B1196" s="83" t="str">
        <f>TEXT("20181102",REPT(0,8))</f>
        <v>20181102</v>
      </c>
      <c r="C1196" s="83" t="s">
        <v>96</v>
      </c>
      <c r="D1196" s="83" t="s">
        <v>7</v>
      </c>
      <c r="F1196" s="83">
        <v>1</v>
      </c>
    </row>
    <row r="1197" spans="1:6">
      <c r="A1197" s="76" t="s">
        <v>237</v>
      </c>
      <c r="B1197" s="83" t="str">
        <f>TEXT("20210795",REPT(0,8))</f>
        <v>20210795</v>
      </c>
      <c r="C1197" s="83" t="s">
        <v>482</v>
      </c>
      <c r="D1197" s="83" t="s">
        <v>7</v>
      </c>
      <c r="F1197" s="83">
        <v>1</v>
      </c>
    </row>
    <row r="1198" spans="1:6">
      <c r="A1198" s="76" t="s">
        <v>237</v>
      </c>
      <c r="B1198" s="83" t="str">
        <f>TEXT("20210876",REPT(0,8))</f>
        <v>20210876</v>
      </c>
      <c r="C1198" s="83" t="s">
        <v>480</v>
      </c>
      <c r="D1198" s="83" t="s">
        <v>7</v>
      </c>
      <c r="F1198" s="83">
        <v>1</v>
      </c>
    </row>
    <row r="1199" spans="1:6">
      <c r="A1199" s="76" t="s">
        <v>237</v>
      </c>
      <c r="B1199" s="83" t="str">
        <f>TEXT("20231013",REPT(0,8))</f>
        <v>20231013</v>
      </c>
      <c r="C1199" s="83" t="s">
        <v>483</v>
      </c>
      <c r="D1199" s="83" t="s">
        <v>7</v>
      </c>
      <c r="F1199" s="83">
        <v>1</v>
      </c>
    </row>
    <row r="1200" spans="1:6">
      <c r="A1200" s="76" t="s">
        <v>237</v>
      </c>
      <c r="B1200" s="83" t="str">
        <f>TEXT("20231014",REPT(0,8))</f>
        <v>20231014</v>
      </c>
      <c r="C1200" s="83" t="s">
        <v>484</v>
      </c>
      <c r="D1200" s="83" t="s">
        <v>7</v>
      </c>
      <c r="F1200" s="83">
        <v>1</v>
      </c>
    </row>
    <row r="1201" spans="1:6">
      <c r="A1201" s="76" t="s">
        <v>237</v>
      </c>
      <c r="B1201" s="83" t="str">
        <f>TEXT("20230481",REPT(0,8))</f>
        <v>20230481</v>
      </c>
      <c r="C1201" s="83" t="s">
        <v>481</v>
      </c>
      <c r="D1201" s="83" t="s">
        <v>7</v>
      </c>
      <c r="F1201" s="83">
        <v>1</v>
      </c>
    </row>
    <row r="1202" spans="1:6">
      <c r="A1202" s="76" t="s">
        <v>237</v>
      </c>
      <c r="B1202" s="83" t="str">
        <f>TEXT("20230482",REPT(0,8))</f>
        <v>20230482</v>
      </c>
      <c r="C1202" s="83" t="s">
        <v>481</v>
      </c>
      <c r="D1202" s="83" t="s">
        <v>7</v>
      </c>
      <c r="F1202" s="83">
        <v>1</v>
      </c>
    </row>
    <row r="1203" spans="1:6">
      <c r="A1203" s="76" t="s">
        <v>237</v>
      </c>
      <c r="B1203" s="83" t="str">
        <f>TEXT("20240684",REPT(0,8))</f>
        <v>20240684</v>
      </c>
      <c r="C1203" s="83" t="s">
        <v>485</v>
      </c>
      <c r="D1203" s="83" t="s">
        <v>7</v>
      </c>
      <c r="F1203" s="83">
        <v>1</v>
      </c>
    </row>
    <row r="1204" spans="1:6">
      <c r="A1204" s="76" t="s">
        <v>237</v>
      </c>
      <c r="B1204" s="83" t="str">
        <f>TEXT("20240685",REPT(0,8))</f>
        <v>20240685</v>
      </c>
      <c r="C1204" s="83" t="s">
        <v>485</v>
      </c>
      <c r="D1204" s="83" t="s">
        <v>7</v>
      </c>
      <c r="F1204" s="83">
        <v>1</v>
      </c>
    </row>
    <row r="1205" spans="1:6">
      <c r="A1205" s="76" t="s">
        <v>237</v>
      </c>
      <c r="B1205" s="83" t="str">
        <f>TEXT("20240686",REPT(0,8))</f>
        <v>20240686</v>
      </c>
      <c r="C1205" s="83" t="s">
        <v>485</v>
      </c>
      <c r="D1205" s="83" t="s">
        <v>7</v>
      </c>
      <c r="F1205" s="83">
        <v>1</v>
      </c>
    </row>
    <row r="1206" spans="1:6">
      <c r="A1206" s="76" t="s">
        <v>237</v>
      </c>
      <c r="B1206" s="83" t="str">
        <f>TEXT("20240687",REPT(0,8))</f>
        <v>20240687</v>
      </c>
      <c r="C1206" s="83" t="s">
        <v>486</v>
      </c>
      <c r="D1206" s="83" t="s">
        <v>7</v>
      </c>
      <c r="F1206" s="83">
        <v>1</v>
      </c>
    </row>
    <row r="1207" spans="1:6">
      <c r="A1207" s="76" t="s">
        <v>237</v>
      </c>
      <c r="B1207" s="83" t="str">
        <f>TEXT("20240688",REPT(0,8))</f>
        <v>20240688</v>
      </c>
      <c r="C1207" s="83" t="s">
        <v>486</v>
      </c>
      <c r="D1207" s="83" t="s">
        <v>7</v>
      </c>
      <c r="F1207" s="83">
        <v>1</v>
      </c>
    </row>
    <row r="1208" spans="1:6">
      <c r="A1208" s="76" t="s">
        <v>237</v>
      </c>
      <c r="B1208" s="83" t="str">
        <f>TEXT("20240689",REPT(0,8))</f>
        <v>20240689</v>
      </c>
      <c r="C1208" s="83" t="s">
        <v>486</v>
      </c>
      <c r="D1208" s="83" t="s">
        <v>7</v>
      </c>
      <c r="F1208" s="83">
        <v>1</v>
      </c>
    </row>
    <row r="1209" spans="1:6">
      <c r="A1209" s="76" t="s">
        <v>237</v>
      </c>
      <c r="B1209" s="83" t="str">
        <f>TEXT("20240690",REPT(0,8))</f>
        <v>20240690</v>
      </c>
      <c r="C1209" s="83" t="s">
        <v>486</v>
      </c>
      <c r="D1209" s="83" t="s">
        <v>7</v>
      </c>
      <c r="F1209" s="83">
        <v>1</v>
      </c>
    </row>
    <row r="1210" spans="1:6">
      <c r="A1210" s="76" t="s">
        <v>237</v>
      </c>
      <c r="B1210" s="83" t="str">
        <f>TEXT("20220788",REPT(0,8))</f>
        <v>20220788</v>
      </c>
      <c r="C1210" s="83" t="s">
        <v>35</v>
      </c>
      <c r="D1210" s="83" t="s">
        <v>7</v>
      </c>
      <c r="F1210" s="83">
        <v>1</v>
      </c>
    </row>
    <row r="1211" s="50" customFormat="1" spans="1:6">
      <c r="A1211" s="76" t="s">
        <v>237</v>
      </c>
      <c r="B1211" s="73" t="str">
        <f>TEXT("20130046",REPT(0,8))</f>
        <v>20130046</v>
      </c>
      <c r="C1211" s="73" t="s">
        <v>197</v>
      </c>
      <c r="D1211" s="72" t="s">
        <v>7</v>
      </c>
      <c r="E1211" s="82"/>
      <c r="F1211" s="83">
        <v>1</v>
      </c>
    </row>
    <row r="1212" s="50" customFormat="1" spans="1:6">
      <c r="A1212" s="76" t="s">
        <v>237</v>
      </c>
      <c r="B1212" s="73" t="str">
        <f>TEXT("20130047",REPT(0,8))</f>
        <v>20130047</v>
      </c>
      <c r="C1212" s="73" t="s">
        <v>197</v>
      </c>
      <c r="D1212" s="72" t="s">
        <v>7</v>
      </c>
      <c r="E1212" s="82"/>
      <c r="F1212" s="83">
        <v>1</v>
      </c>
    </row>
    <row r="1213" s="50" customFormat="1" spans="1:6">
      <c r="A1213" s="76" t="s">
        <v>237</v>
      </c>
      <c r="B1213" s="73" t="str">
        <f>TEXT("20130048",REPT(0,8))</f>
        <v>20130048</v>
      </c>
      <c r="C1213" s="73" t="s">
        <v>197</v>
      </c>
      <c r="D1213" s="72" t="s">
        <v>7</v>
      </c>
      <c r="E1213" s="82"/>
      <c r="F1213" s="83">
        <v>1</v>
      </c>
    </row>
    <row r="1214" s="50" customFormat="1" spans="1:6">
      <c r="A1214" s="76" t="s">
        <v>237</v>
      </c>
      <c r="B1214" s="73" t="str">
        <f>TEXT("20130049",REPT(0,8))</f>
        <v>20130049</v>
      </c>
      <c r="C1214" s="73" t="s">
        <v>197</v>
      </c>
      <c r="D1214" s="72" t="s">
        <v>7</v>
      </c>
      <c r="E1214" s="82"/>
      <c r="F1214" s="83">
        <v>1</v>
      </c>
    </row>
    <row r="1215" s="50" customFormat="1" spans="1:6">
      <c r="A1215" s="76" t="s">
        <v>237</v>
      </c>
      <c r="B1215" s="73" t="str">
        <f>TEXT("20130050",REPT(0,8))</f>
        <v>20130050</v>
      </c>
      <c r="C1215" s="73" t="s">
        <v>487</v>
      </c>
      <c r="D1215" s="72" t="s">
        <v>7</v>
      </c>
      <c r="E1215" s="82"/>
      <c r="F1215" s="83">
        <v>1</v>
      </c>
    </row>
    <row r="1216" s="50" customFormat="1" spans="1:6">
      <c r="A1216" s="76" t="s">
        <v>237</v>
      </c>
      <c r="B1216" s="73" t="str">
        <f>TEXT("20130051",REPT(0,8))</f>
        <v>20130051</v>
      </c>
      <c r="C1216" s="73" t="s">
        <v>488</v>
      </c>
      <c r="D1216" s="72" t="s">
        <v>7</v>
      </c>
      <c r="E1216" s="82"/>
      <c r="F1216" s="83">
        <v>1</v>
      </c>
    </row>
    <row r="1217" s="50" customFormat="1" spans="1:6">
      <c r="A1217" s="76" t="s">
        <v>237</v>
      </c>
      <c r="B1217" s="73" t="str">
        <f>TEXT("20130052",REPT(0,8))</f>
        <v>20130052</v>
      </c>
      <c r="C1217" s="73" t="s">
        <v>489</v>
      </c>
      <c r="D1217" s="72" t="s">
        <v>7</v>
      </c>
      <c r="E1217" s="82"/>
      <c r="F1217" s="83">
        <v>1</v>
      </c>
    </row>
    <row r="1218" s="50" customFormat="1" spans="1:6">
      <c r="A1218" s="76" t="s">
        <v>237</v>
      </c>
      <c r="B1218" s="73" t="str">
        <f>TEXT("20130053",REPT(0,8))</f>
        <v>20130053</v>
      </c>
      <c r="C1218" s="73" t="s">
        <v>489</v>
      </c>
      <c r="D1218" s="72" t="s">
        <v>7</v>
      </c>
      <c r="E1218" s="82"/>
      <c r="F1218" s="83">
        <v>1</v>
      </c>
    </row>
    <row r="1219" s="50" customFormat="1" spans="1:6">
      <c r="A1219" s="76" t="s">
        <v>237</v>
      </c>
      <c r="B1219" s="73" t="str">
        <f>TEXT("20130741",REPT(0,8))</f>
        <v>20130741</v>
      </c>
      <c r="C1219" s="73" t="s">
        <v>490</v>
      </c>
      <c r="D1219" s="72" t="s">
        <v>7</v>
      </c>
      <c r="E1219" s="82"/>
      <c r="F1219" s="83">
        <v>1</v>
      </c>
    </row>
    <row r="1220" s="50" customFormat="1" spans="1:6">
      <c r="A1220" s="76" t="s">
        <v>237</v>
      </c>
      <c r="B1220" s="73" t="str">
        <f>TEXT("20130742",REPT(0,8))</f>
        <v>20130742</v>
      </c>
      <c r="C1220" s="73" t="s">
        <v>490</v>
      </c>
      <c r="D1220" s="72" t="s">
        <v>7</v>
      </c>
      <c r="E1220" s="82"/>
      <c r="F1220" s="83">
        <v>1</v>
      </c>
    </row>
    <row r="1221" s="50" customFormat="1" spans="1:6">
      <c r="A1221" s="76" t="s">
        <v>237</v>
      </c>
      <c r="B1221" s="73" t="str">
        <f>TEXT("20130743",REPT(0,8))</f>
        <v>20130743</v>
      </c>
      <c r="C1221" s="73" t="s">
        <v>490</v>
      </c>
      <c r="D1221" s="72" t="s">
        <v>7</v>
      </c>
      <c r="E1221" s="82"/>
      <c r="F1221" s="83">
        <v>1</v>
      </c>
    </row>
    <row r="1222" s="50" customFormat="1" spans="1:6">
      <c r="A1222" s="76" t="s">
        <v>237</v>
      </c>
      <c r="B1222" s="73" t="str">
        <f>TEXT("20130744",REPT(0,8))</f>
        <v>20130744</v>
      </c>
      <c r="C1222" s="73" t="s">
        <v>490</v>
      </c>
      <c r="D1222" s="72" t="s">
        <v>7</v>
      </c>
      <c r="E1222" s="82"/>
      <c r="F1222" s="83">
        <v>1</v>
      </c>
    </row>
    <row r="1223" s="50" customFormat="1" spans="1:6">
      <c r="A1223" s="76" t="s">
        <v>237</v>
      </c>
      <c r="B1223" s="73" t="str">
        <f>TEXT("20130745",REPT(0,8))</f>
        <v>20130745</v>
      </c>
      <c r="C1223" s="73" t="s">
        <v>490</v>
      </c>
      <c r="D1223" s="72" t="s">
        <v>7</v>
      </c>
      <c r="E1223" s="82"/>
      <c r="F1223" s="83">
        <v>1</v>
      </c>
    </row>
    <row r="1224" s="50" customFormat="1" spans="1:6">
      <c r="A1224" s="76" t="s">
        <v>237</v>
      </c>
      <c r="B1224" s="73" t="str">
        <f>TEXT("20130746",REPT(0,8))</f>
        <v>20130746</v>
      </c>
      <c r="C1224" s="73" t="s">
        <v>490</v>
      </c>
      <c r="D1224" s="72" t="s">
        <v>7</v>
      </c>
      <c r="E1224" s="82"/>
      <c r="F1224" s="83">
        <v>1</v>
      </c>
    </row>
    <row r="1225" s="50" customFormat="1" spans="1:6">
      <c r="A1225" s="76" t="s">
        <v>237</v>
      </c>
      <c r="B1225" s="73" t="str">
        <f>TEXT("20130747",REPT(0,8))</f>
        <v>20130747</v>
      </c>
      <c r="C1225" s="73" t="s">
        <v>490</v>
      </c>
      <c r="D1225" s="72" t="s">
        <v>7</v>
      </c>
      <c r="E1225" s="82"/>
      <c r="F1225" s="83">
        <v>1</v>
      </c>
    </row>
    <row r="1226" s="50" customFormat="1" spans="1:6">
      <c r="A1226" s="76" t="s">
        <v>237</v>
      </c>
      <c r="B1226" s="73" t="str">
        <f>TEXT("20130748",REPT(0,8))</f>
        <v>20130748</v>
      </c>
      <c r="C1226" s="73" t="s">
        <v>490</v>
      </c>
      <c r="D1226" s="72" t="s">
        <v>7</v>
      </c>
      <c r="E1226" s="82"/>
      <c r="F1226" s="83">
        <v>1</v>
      </c>
    </row>
    <row r="1227" s="50" customFormat="1" spans="1:6">
      <c r="A1227" s="76" t="s">
        <v>237</v>
      </c>
      <c r="B1227" s="73" t="str">
        <f>TEXT("20130749",REPT(0,8))</f>
        <v>20130749</v>
      </c>
      <c r="C1227" s="73" t="s">
        <v>490</v>
      </c>
      <c r="D1227" s="72" t="s">
        <v>7</v>
      </c>
      <c r="E1227" s="82"/>
      <c r="F1227" s="83">
        <v>1</v>
      </c>
    </row>
    <row r="1228" s="50" customFormat="1" spans="1:6">
      <c r="A1228" s="76" t="s">
        <v>237</v>
      </c>
      <c r="B1228" s="73" t="str">
        <f>TEXT("20130750",REPT(0,8))</f>
        <v>20130750</v>
      </c>
      <c r="C1228" s="73" t="s">
        <v>490</v>
      </c>
      <c r="D1228" s="72" t="s">
        <v>7</v>
      </c>
      <c r="E1228" s="82"/>
      <c r="F1228" s="83">
        <v>1</v>
      </c>
    </row>
    <row r="1229" s="50" customFormat="1" spans="1:6">
      <c r="A1229" s="76" t="s">
        <v>237</v>
      </c>
      <c r="B1229" s="73" t="str">
        <f>TEXT("20130751",REPT(0,8))</f>
        <v>20130751</v>
      </c>
      <c r="C1229" s="73" t="s">
        <v>490</v>
      </c>
      <c r="D1229" s="72" t="s">
        <v>7</v>
      </c>
      <c r="E1229" s="82"/>
      <c r="F1229" s="83">
        <v>1</v>
      </c>
    </row>
    <row r="1230" s="50" customFormat="1" spans="1:6">
      <c r="A1230" s="76" t="s">
        <v>237</v>
      </c>
      <c r="B1230" s="73" t="str">
        <f>TEXT("20130752",REPT(0,8))</f>
        <v>20130752</v>
      </c>
      <c r="C1230" s="73" t="s">
        <v>490</v>
      </c>
      <c r="D1230" s="72" t="s">
        <v>7</v>
      </c>
      <c r="E1230" s="82"/>
      <c r="F1230" s="83">
        <v>1</v>
      </c>
    </row>
    <row r="1231" s="50" customFormat="1" spans="1:6">
      <c r="A1231" s="76" t="s">
        <v>237</v>
      </c>
      <c r="B1231" s="73" t="str">
        <f>TEXT("20130753",REPT(0,8))</f>
        <v>20130753</v>
      </c>
      <c r="C1231" s="73" t="s">
        <v>490</v>
      </c>
      <c r="D1231" s="72" t="s">
        <v>7</v>
      </c>
      <c r="E1231" s="82"/>
      <c r="F1231" s="83">
        <v>1</v>
      </c>
    </row>
    <row r="1232" s="50" customFormat="1" spans="1:6">
      <c r="A1232" s="76" t="s">
        <v>237</v>
      </c>
      <c r="B1232" s="73" t="str">
        <f>TEXT("20130754",REPT(0,8))</f>
        <v>20130754</v>
      </c>
      <c r="C1232" s="73" t="s">
        <v>490</v>
      </c>
      <c r="D1232" s="72" t="s">
        <v>7</v>
      </c>
      <c r="E1232" s="82"/>
      <c r="F1232" s="83">
        <v>1</v>
      </c>
    </row>
    <row r="1233" s="50" customFormat="1" spans="1:6">
      <c r="A1233" s="76" t="s">
        <v>237</v>
      </c>
      <c r="B1233" s="73" t="str">
        <f>TEXT("20130755",REPT(0,8))</f>
        <v>20130755</v>
      </c>
      <c r="C1233" s="73" t="s">
        <v>490</v>
      </c>
      <c r="D1233" s="72" t="s">
        <v>7</v>
      </c>
      <c r="E1233" s="82"/>
      <c r="F1233" s="83">
        <v>1</v>
      </c>
    </row>
    <row r="1234" s="50" customFormat="1" spans="1:6">
      <c r="A1234" s="76" t="s">
        <v>237</v>
      </c>
      <c r="B1234" s="73" t="str">
        <f>TEXT("20130756",REPT(0,8))</f>
        <v>20130756</v>
      </c>
      <c r="C1234" s="73" t="s">
        <v>490</v>
      </c>
      <c r="D1234" s="72" t="s">
        <v>7</v>
      </c>
      <c r="E1234" s="82"/>
      <c r="F1234" s="83">
        <v>1</v>
      </c>
    </row>
    <row r="1235" s="50" customFormat="1" spans="1:6">
      <c r="A1235" s="76" t="s">
        <v>237</v>
      </c>
      <c r="B1235" s="73" t="str">
        <f>TEXT("20130757",REPT(0,8))</f>
        <v>20130757</v>
      </c>
      <c r="C1235" s="73" t="s">
        <v>490</v>
      </c>
      <c r="D1235" s="72" t="s">
        <v>7</v>
      </c>
      <c r="E1235" s="82"/>
      <c r="F1235" s="83">
        <v>1</v>
      </c>
    </row>
    <row r="1236" s="50" customFormat="1" spans="1:6">
      <c r="A1236" s="76" t="s">
        <v>237</v>
      </c>
      <c r="B1236" s="73" t="str">
        <f>TEXT("20130758",REPT(0,8))</f>
        <v>20130758</v>
      </c>
      <c r="C1236" s="73" t="s">
        <v>490</v>
      </c>
      <c r="D1236" s="72" t="s">
        <v>7</v>
      </c>
      <c r="E1236" s="82"/>
      <c r="F1236" s="83">
        <v>1</v>
      </c>
    </row>
    <row r="1237" s="50" customFormat="1" spans="1:6">
      <c r="A1237" s="76" t="s">
        <v>237</v>
      </c>
      <c r="B1237" s="73" t="str">
        <f>TEXT("20130759",REPT(0,8))</f>
        <v>20130759</v>
      </c>
      <c r="C1237" s="73" t="s">
        <v>490</v>
      </c>
      <c r="D1237" s="72" t="s">
        <v>7</v>
      </c>
      <c r="E1237" s="82"/>
      <c r="F1237" s="83">
        <v>1</v>
      </c>
    </row>
    <row r="1238" s="50" customFormat="1" spans="1:6">
      <c r="A1238" s="76" t="s">
        <v>237</v>
      </c>
      <c r="B1238" s="73" t="str">
        <f>TEXT("20130760",REPT(0,8))</f>
        <v>20130760</v>
      </c>
      <c r="C1238" s="73" t="s">
        <v>490</v>
      </c>
      <c r="D1238" s="72" t="s">
        <v>7</v>
      </c>
      <c r="E1238" s="82"/>
      <c r="F1238" s="83">
        <v>1</v>
      </c>
    </row>
    <row r="1239" s="50" customFormat="1" spans="1:6">
      <c r="A1239" s="76" t="s">
        <v>237</v>
      </c>
      <c r="B1239" s="73" t="str">
        <f>TEXT("20130761",REPT(0,8))</f>
        <v>20130761</v>
      </c>
      <c r="C1239" s="73" t="s">
        <v>490</v>
      </c>
      <c r="D1239" s="72" t="s">
        <v>7</v>
      </c>
      <c r="E1239" s="82"/>
      <c r="F1239" s="83">
        <v>1</v>
      </c>
    </row>
    <row r="1240" s="50" customFormat="1" spans="1:6">
      <c r="A1240" s="76" t="s">
        <v>237</v>
      </c>
      <c r="B1240" s="73" t="str">
        <f>TEXT("20130762",REPT(0,8))</f>
        <v>20130762</v>
      </c>
      <c r="C1240" s="73" t="s">
        <v>490</v>
      </c>
      <c r="D1240" s="72" t="s">
        <v>7</v>
      </c>
      <c r="E1240" s="82"/>
      <c r="F1240" s="83">
        <v>1</v>
      </c>
    </row>
    <row r="1241" s="50" customFormat="1" spans="1:6">
      <c r="A1241" s="76" t="s">
        <v>237</v>
      </c>
      <c r="B1241" s="73" t="str">
        <f>TEXT("20130763",REPT(0,8))</f>
        <v>20130763</v>
      </c>
      <c r="C1241" s="73" t="s">
        <v>490</v>
      </c>
      <c r="D1241" s="72" t="s">
        <v>7</v>
      </c>
      <c r="E1241" s="82"/>
      <c r="F1241" s="83">
        <v>1</v>
      </c>
    </row>
    <row r="1242" s="50" customFormat="1" spans="1:6">
      <c r="A1242" s="76" t="s">
        <v>237</v>
      </c>
      <c r="B1242" s="73" t="str">
        <f>TEXT("20130764",REPT(0,8))</f>
        <v>20130764</v>
      </c>
      <c r="C1242" s="73" t="s">
        <v>490</v>
      </c>
      <c r="D1242" s="72" t="s">
        <v>7</v>
      </c>
      <c r="E1242" s="82"/>
      <c r="F1242" s="83">
        <v>1</v>
      </c>
    </row>
    <row r="1243" s="50" customFormat="1" spans="1:6">
      <c r="A1243" s="76" t="s">
        <v>237</v>
      </c>
      <c r="B1243" s="73" t="str">
        <f>TEXT("20130765",REPT(0,8))</f>
        <v>20130765</v>
      </c>
      <c r="C1243" s="73" t="s">
        <v>490</v>
      </c>
      <c r="D1243" s="72" t="s">
        <v>7</v>
      </c>
      <c r="E1243" s="82"/>
      <c r="F1243" s="83">
        <v>1</v>
      </c>
    </row>
    <row r="1244" s="50" customFormat="1" spans="1:6">
      <c r="A1244" s="76" t="s">
        <v>237</v>
      </c>
      <c r="B1244" s="73" t="str">
        <f>TEXT("20130766",REPT(0,8))</f>
        <v>20130766</v>
      </c>
      <c r="C1244" s="73" t="s">
        <v>490</v>
      </c>
      <c r="D1244" s="72" t="s">
        <v>7</v>
      </c>
      <c r="E1244" s="82"/>
      <c r="F1244" s="83">
        <v>1</v>
      </c>
    </row>
    <row r="1245" s="50" customFormat="1" spans="1:6">
      <c r="A1245" s="76" t="s">
        <v>237</v>
      </c>
      <c r="B1245" s="73" t="str">
        <f>TEXT("20130767",REPT(0,8))</f>
        <v>20130767</v>
      </c>
      <c r="C1245" s="73" t="s">
        <v>490</v>
      </c>
      <c r="D1245" s="72" t="s">
        <v>7</v>
      </c>
      <c r="E1245" s="82"/>
      <c r="F1245" s="83">
        <v>1</v>
      </c>
    </row>
    <row r="1246" s="50" customFormat="1" spans="1:6">
      <c r="A1246" s="76" t="s">
        <v>237</v>
      </c>
      <c r="B1246" s="73" t="str">
        <f>TEXT("20130768",REPT(0,8))</f>
        <v>20130768</v>
      </c>
      <c r="C1246" s="73" t="s">
        <v>490</v>
      </c>
      <c r="D1246" s="72" t="s">
        <v>7</v>
      </c>
      <c r="E1246" s="82"/>
      <c r="F1246" s="83">
        <v>1</v>
      </c>
    </row>
    <row r="1247" s="50" customFormat="1" spans="1:6">
      <c r="A1247" s="76" t="s">
        <v>237</v>
      </c>
      <c r="B1247" s="73" t="str">
        <f>TEXT("20130769",REPT(0,8))</f>
        <v>20130769</v>
      </c>
      <c r="C1247" s="73" t="s">
        <v>490</v>
      </c>
      <c r="D1247" s="72" t="s">
        <v>7</v>
      </c>
      <c r="E1247" s="82"/>
      <c r="F1247" s="83">
        <v>1</v>
      </c>
    </row>
    <row r="1248" s="50" customFormat="1" spans="1:6">
      <c r="A1248" s="76" t="s">
        <v>237</v>
      </c>
      <c r="B1248" s="73" t="str">
        <f>TEXT("20130770",REPT(0,8))</f>
        <v>20130770</v>
      </c>
      <c r="C1248" s="73" t="s">
        <v>490</v>
      </c>
      <c r="D1248" s="72" t="s">
        <v>7</v>
      </c>
      <c r="E1248" s="82"/>
      <c r="F1248" s="83">
        <v>1</v>
      </c>
    </row>
    <row r="1249" s="50" customFormat="1" spans="1:6">
      <c r="A1249" s="76" t="s">
        <v>237</v>
      </c>
      <c r="B1249" s="73" t="str">
        <f>TEXT("20130771",REPT(0,8))</f>
        <v>20130771</v>
      </c>
      <c r="C1249" s="73" t="s">
        <v>490</v>
      </c>
      <c r="D1249" s="72" t="s">
        <v>7</v>
      </c>
      <c r="E1249" s="82"/>
      <c r="F1249" s="83">
        <v>1</v>
      </c>
    </row>
    <row r="1250" s="50" customFormat="1" spans="1:6">
      <c r="A1250" s="76" t="s">
        <v>237</v>
      </c>
      <c r="B1250" s="73" t="str">
        <f>TEXT("20130772",REPT(0,8))</f>
        <v>20130772</v>
      </c>
      <c r="C1250" s="73" t="s">
        <v>490</v>
      </c>
      <c r="D1250" s="72" t="s">
        <v>7</v>
      </c>
      <c r="E1250" s="82"/>
      <c r="F1250" s="83">
        <v>1</v>
      </c>
    </row>
    <row r="1251" s="50" customFormat="1" spans="1:6">
      <c r="A1251" s="76" t="s">
        <v>237</v>
      </c>
      <c r="B1251" s="73" t="str">
        <f>TEXT("20130773",REPT(0,8))</f>
        <v>20130773</v>
      </c>
      <c r="C1251" s="73" t="s">
        <v>490</v>
      </c>
      <c r="D1251" s="72" t="s">
        <v>7</v>
      </c>
      <c r="E1251" s="82"/>
      <c r="F1251" s="83">
        <v>1</v>
      </c>
    </row>
    <row r="1252" s="50" customFormat="1" spans="1:6">
      <c r="A1252" s="76" t="s">
        <v>237</v>
      </c>
      <c r="B1252" s="73" t="str">
        <f>TEXT("20130774",REPT(0,8))</f>
        <v>20130774</v>
      </c>
      <c r="C1252" s="73" t="s">
        <v>490</v>
      </c>
      <c r="D1252" s="72" t="s">
        <v>7</v>
      </c>
      <c r="E1252" s="82"/>
      <c r="F1252" s="83">
        <v>1</v>
      </c>
    </row>
    <row r="1253" s="50" customFormat="1" spans="1:6">
      <c r="A1253" s="76" t="s">
        <v>237</v>
      </c>
      <c r="B1253" s="73" t="str">
        <f>TEXT("20130775",REPT(0,8))</f>
        <v>20130775</v>
      </c>
      <c r="C1253" s="73" t="s">
        <v>490</v>
      </c>
      <c r="D1253" s="72" t="s">
        <v>7</v>
      </c>
      <c r="E1253" s="82"/>
      <c r="F1253" s="83">
        <v>1</v>
      </c>
    </row>
    <row r="1254" s="50" customFormat="1" spans="1:6">
      <c r="A1254" s="76" t="s">
        <v>237</v>
      </c>
      <c r="B1254" s="73" t="str">
        <f>TEXT("20130776",REPT(0,8))</f>
        <v>20130776</v>
      </c>
      <c r="C1254" s="73" t="s">
        <v>490</v>
      </c>
      <c r="D1254" s="72" t="s">
        <v>7</v>
      </c>
      <c r="E1254" s="82"/>
      <c r="F1254" s="83">
        <v>1</v>
      </c>
    </row>
    <row r="1255" s="50" customFormat="1" spans="1:6">
      <c r="A1255" s="76" t="s">
        <v>237</v>
      </c>
      <c r="B1255" s="73" t="str">
        <f>TEXT("20130777",REPT(0,8))</f>
        <v>20130777</v>
      </c>
      <c r="C1255" s="73" t="s">
        <v>490</v>
      </c>
      <c r="D1255" s="72" t="s">
        <v>7</v>
      </c>
      <c r="E1255" s="82"/>
      <c r="F1255" s="83">
        <v>1</v>
      </c>
    </row>
    <row r="1256" s="50" customFormat="1" spans="1:6">
      <c r="A1256" s="76" t="s">
        <v>237</v>
      </c>
      <c r="B1256" s="73" t="str">
        <f>TEXT("20130778",REPT(0,8))</f>
        <v>20130778</v>
      </c>
      <c r="C1256" s="73" t="s">
        <v>490</v>
      </c>
      <c r="D1256" s="72" t="s">
        <v>7</v>
      </c>
      <c r="E1256" s="82"/>
      <c r="F1256" s="83">
        <v>1</v>
      </c>
    </row>
    <row r="1257" s="50" customFormat="1" spans="1:6">
      <c r="A1257" s="76" t="s">
        <v>237</v>
      </c>
      <c r="B1257" s="73" t="str">
        <f>TEXT("20130779",REPT(0,8))</f>
        <v>20130779</v>
      </c>
      <c r="C1257" s="73" t="s">
        <v>490</v>
      </c>
      <c r="D1257" s="72" t="s">
        <v>7</v>
      </c>
      <c r="E1257" s="82"/>
      <c r="F1257" s="83">
        <v>1</v>
      </c>
    </row>
    <row r="1258" s="50" customFormat="1" spans="1:6">
      <c r="A1258" s="76" t="s">
        <v>237</v>
      </c>
      <c r="B1258" s="73" t="str">
        <f>TEXT("20130780",REPT(0,8))</f>
        <v>20130780</v>
      </c>
      <c r="C1258" s="73" t="s">
        <v>490</v>
      </c>
      <c r="D1258" s="72" t="s">
        <v>7</v>
      </c>
      <c r="E1258" s="82"/>
      <c r="F1258" s="83">
        <v>1</v>
      </c>
    </row>
    <row r="1259" spans="1:6">
      <c r="A1259" s="76" t="s">
        <v>237</v>
      </c>
      <c r="B1259" s="83" t="str">
        <f>TEXT("20190344",REPT(0,8))</f>
        <v>20190344</v>
      </c>
      <c r="C1259" s="83" t="s">
        <v>491</v>
      </c>
      <c r="D1259" s="83" t="s">
        <v>7</v>
      </c>
      <c r="F1259" s="83">
        <v>1</v>
      </c>
    </row>
    <row r="1260" spans="1:6">
      <c r="A1260" s="76" t="s">
        <v>237</v>
      </c>
      <c r="B1260" s="83" t="str">
        <f>TEXT("20190345",REPT(0,8))</f>
        <v>20190345</v>
      </c>
      <c r="C1260" s="83" t="s">
        <v>491</v>
      </c>
      <c r="D1260" s="83" t="s">
        <v>7</v>
      </c>
      <c r="F1260" s="83">
        <v>1</v>
      </c>
    </row>
    <row r="1261" spans="1:6">
      <c r="A1261" s="76" t="s">
        <v>237</v>
      </c>
      <c r="B1261" s="83" t="str">
        <f>TEXT("20190346",REPT(0,8))</f>
        <v>20190346</v>
      </c>
      <c r="C1261" s="83" t="s">
        <v>491</v>
      </c>
      <c r="D1261" s="83" t="s">
        <v>7</v>
      </c>
      <c r="F1261" s="83">
        <v>1</v>
      </c>
    </row>
    <row r="1262" spans="1:6">
      <c r="A1262" s="76" t="s">
        <v>237</v>
      </c>
      <c r="B1262" s="83" t="str">
        <f>TEXT("20190347",REPT(0,8))</f>
        <v>20190347</v>
      </c>
      <c r="C1262" s="83" t="s">
        <v>491</v>
      </c>
      <c r="D1262" s="83" t="s">
        <v>7</v>
      </c>
      <c r="F1262" s="83">
        <v>1</v>
      </c>
    </row>
    <row r="1263" spans="1:6">
      <c r="A1263" s="76" t="s">
        <v>237</v>
      </c>
      <c r="B1263" s="83" t="str">
        <f>TEXT("20190348",REPT(0,8))</f>
        <v>20190348</v>
      </c>
      <c r="C1263" s="83" t="s">
        <v>491</v>
      </c>
      <c r="D1263" s="83" t="s">
        <v>7</v>
      </c>
      <c r="F1263" s="83">
        <v>1</v>
      </c>
    </row>
    <row r="1264" spans="1:6">
      <c r="A1264" s="76" t="s">
        <v>237</v>
      </c>
      <c r="B1264" s="83" t="str">
        <f>TEXT("20190349",REPT(0,8))</f>
        <v>20190349</v>
      </c>
      <c r="C1264" s="83" t="s">
        <v>491</v>
      </c>
      <c r="D1264" s="83" t="s">
        <v>7</v>
      </c>
      <c r="F1264" s="83">
        <v>1</v>
      </c>
    </row>
    <row r="1265" spans="1:6">
      <c r="A1265" s="76" t="s">
        <v>237</v>
      </c>
      <c r="B1265" s="83" t="str">
        <f>TEXT("20190360",REPT(0,8))</f>
        <v>20190360</v>
      </c>
      <c r="C1265" s="83" t="s">
        <v>492</v>
      </c>
      <c r="D1265" s="83" t="s">
        <v>7</v>
      </c>
      <c r="F1265" s="83">
        <v>1</v>
      </c>
    </row>
    <row r="1266" spans="1:6">
      <c r="A1266" s="76" t="s">
        <v>237</v>
      </c>
      <c r="B1266" s="83" t="str">
        <f>TEXT("20190361",REPT(0,8))</f>
        <v>20190361</v>
      </c>
      <c r="C1266" s="83" t="s">
        <v>492</v>
      </c>
      <c r="D1266" s="83" t="s">
        <v>7</v>
      </c>
      <c r="F1266" s="83">
        <v>1</v>
      </c>
    </row>
    <row r="1267" spans="1:6">
      <c r="A1267" s="76" t="s">
        <v>237</v>
      </c>
      <c r="B1267" s="83" t="str">
        <f>TEXT("20190362",REPT(0,8))</f>
        <v>20190362</v>
      </c>
      <c r="C1267" s="83" t="s">
        <v>492</v>
      </c>
      <c r="D1267" s="83" t="s">
        <v>7</v>
      </c>
      <c r="F1267" s="83">
        <v>1</v>
      </c>
    </row>
    <row r="1268" spans="1:6">
      <c r="A1268" s="76" t="s">
        <v>237</v>
      </c>
      <c r="B1268" s="83" t="str">
        <f>TEXT("20190363",REPT(0,8))</f>
        <v>20190363</v>
      </c>
      <c r="C1268" s="83" t="s">
        <v>492</v>
      </c>
      <c r="D1268" s="83" t="s">
        <v>7</v>
      </c>
      <c r="F1268" s="83">
        <v>1</v>
      </c>
    </row>
    <row r="1269" spans="1:6">
      <c r="A1269" s="76" t="s">
        <v>237</v>
      </c>
      <c r="B1269" s="83" t="str">
        <f>TEXT("20190364",REPT(0,8))</f>
        <v>20190364</v>
      </c>
      <c r="C1269" s="83" t="s">
        <v>492</v>
      </c>
      <c r="D1269" s="83" t="s">
        <v>7</v>
      </c>
      <c r="F1269" s="83">
        <v>1</v>
      </c>
    </row>
    <row r="1270" spans="1:6">
      <c r="A1270" s="76" t="s">
        <v>237</v>
      </c>
      <c r="B1270" s="83" t="str">
        <f>TEXT("20190365",REPT(0,8))</f>
        <v>20190365</v>
      </c>
      <c r="C1270" s="83" t="s">
        <v>492</v>
      </c>
      <c r="D1270" s="83" t="s">
        <v>7</v>
      </c>
      <c r="F1270" s="83">
        <v>1</v>
      </c>
    </row>
    <row r="1271" spans="1:6">
      <c r="A1271" s="76" t="s">
        <v>237</v>
      </c>
      <c r="B1271" s="83" t="str">
        <f>TEXT("20190366",REPT(0,8))</f>
        <v>20190366</v>
      </c>
      <c r="C1271" s="83" t="s">
        <v>492</v>
      </c>
      <c r="D1271" s="83" t="s">
        <v>7</v>
      </c>
      <c r="F1271" s="83">
        <v>1</v>
      </c>
    </row>
    <row r="1272" spans="1:6">
      <c r="A1272" s="76" t="s">
        <v>237</v>
      </c>
      <c r="B1272" s="83" t="str">
        <f>TEXT("20190367",REPT(0,8))</f>
        <v>20190367</v>
      </c>
      <c r="C1272" s="83" t="s">
        <v>492</v>
      </c>
      <c r="D1272" s="83" t="s">
        <v>7</v>
      </c>
      <c r="F1272" s="83">
        <v>1</v>
      </c>
    </row>
    <row r="1273" spans="1:6">
      <c r="A1273" s="76" t="s">
        <v>237</v>
      </c>
      <c r="B1273" s="83" t="str">
        <f>TEXT("20190368",REPT(0,8))</f>
        <v>20190368</v>
      </c>
      <c r="C1273" s="83" t="s">
        <v>492</v>
      </c>
      <c r="D1273" s="83" t="s">
        <v>7</v>
      </c>
      <c r="F1273" s="83">
        <v>1</v>
      </c>
    </row>
    <row r="1274" spans="1:6">
      <c r="A1274" s="76" t="s">
        <v>237</v>
      </c>
      <c r="B1274" s="83" t="str">
        <f>TEXT("20190369",REPT(0,8))</f>
        <v>20190369</v>
      </c>
      <c r="C1274" s="83" t="s">
        <v>492</v>
      </c>
      <c r="D1274" s="83" t="s">
        <v>7</v>
      </c>
      <c r="F1274" s="83">
        <v>1</v>
      </c>
    </row>
    <row r="1275" spans="1:6">
      <c r="A1275" s="76" t="s">
        <v>237</v>
      </c>
      <c r="B1275" s="83" t="str">
        <f>TEXT("20190370",REPT(0,8))</f>
        <v>20190370</v>
      </c>
      <c r="C1275" s="83" t="s">
        <v>492</v>
      </c>
      <c r="D1275" s="83" t="s">
        <v>7</v>
      </c>
      <c r="F1275" s="83">
        <v>1</v>
      </c>
    </row>
    <row r="1276" spans="1:6">
      <c r="A1276" s="76" t="s">
        <v>237</v>
      </c>
      <c r="B1276" s="83" t="str">
        <f>TEXT("20190371",REPT(0,8))</f>
        <v>20190371</v>
      </c>
      <c r="C1276" s="83" t="s">
        <v>492</v>
      </c>
      <c r="D1276" s="83" t="s">
        <v>7</v>
      </c>
      <c r="F1276" s="83">
        <v>1</v>
      </c>
    </row>
    <row r="1277" spans="1:6">
      <c r="A1277" s="76" t="s">
        <v>237</v>
      </c>
      <c r="B1277" s="83" t="str">
        <f>TEXT("20190372",REPT(0,8))</f>
        <v>20190372</v>
      </c>
      <c r="C1277" s="83" t="s">
        <v>492</v>
      </c>
      <c r="D1277" s="83" t="s">
        <v>7</v>
      </c>
      <c r="F1277" s="83">
        <v>1</v>
      </c>
    </row>
    <row r="1278" spans="1:6">
      <c r="A1278" s="76" t="s">
        <v>237</v>
      </c>
      <c r="B1278" s="83" t="str">
        <f>TEXT("20190373",REPT(0,8))</f>
        <v>20190373</v>
      </c>
      <c r="C1278" s="83" t="s">
        <v>492</v>
      </c>
      <c r="D1278" s="83" t="s">
        <v>7</v>
      </c>
      <c r="F1278" s="83">
        <v>1</v>
      </c>
    </row>
    <row r="1279" spans="1:6">
      <c r="A1279" s="76" t="s">
        <v>237</v>
      </c>
      <c r="B1279" s="83" t="str">
        <f>TEXT("20121160",REPT(0,8))</f>
        <v>20121160</v>
      </c>
      <c r="C1279" s="83" t="s">
        <v>96</v>
      </c>
      <c r="D1279" s="83" t="s">
        <v>7</v>
      </c>
      <c r="E1279" s="82">
        <v>15109</v>
      </c>
      <c r="F1279" s="83">
        <v>1</v>
      </c>
    </row>
    <row r="1280" spans="1:6">
      <c r="A1280" s="76" t="s">
        <v>237</v>
      </c>
      <c r="B1280" s="83" t="str">
        <f>TEXT("20210166",REPT(0,8))</f>
        <v>20210166</v>
      </c>
      <c r="C1280" s="83" t="s">
        <v>493</v>
      </c>
      <c r="D1280" s="83" t="s">
        <v>7</v>
      </c>
      <c r="E1280" s="82">
        <v>15402</v>
      </c>
      <c r="F1280" s="83">
        <v>1</v>
      </c>
    </row>
    <row r="1281" spans="1:6">
      <c r="A1281" s="76" t="s">
        <v>237</v>
      </c>
      <c r="B1281" s="83" t="str">
        <f>TEXT("20190350",REPT(0,8))</f>
        <v>20190350</v>
      </c>
      <c r="C1281" s="83" t="s">
        <v>492</v>
      </c>
      <c r="D1281" s="83" t="s">
        <v>7</v>
      </c>
      <c r="E1281" s="82">
        <v>15402</v>
      </c>
      <c r="F1281" s="83">
        <v>1</v>
      </c>
    </row>
    <row r="1282" spans="1:6">
      <c r="A1282" s="76" t="s">
        <v>237</v>
      </c>
      <c r="B1282" s="83" t="str">
        <f>TEXT("20190351",REPT(0,8))</f>
        <v>20190351</v>
      </c>
      <c r="C1282" s="83" t="s">
        <v>492</v>
      </c>
      <c r="D1282" s="83" t="s">
        <v>7</v>
      </c>
      <c r="E1282" s="82">
        <v>15402</v>
      </c>
      <c r="F1282" s="83">
        <v>1</v>
      </c>
    </row>
    <row r="1283" spans="1:6">
      <c r="A1283" s="76" t="s">
        <v>237</v>
      </c>
      <c r="B1283" s="83" t="str">
        <f>TEXT("20190352",REPT(0,8))</f>
        <v>20190352</v>
      </c>
      <c r="C1283" s="83" t="s">
        <v>492</v>
      </c>
      <c r="D1283" s="83" t="s">
        <v>7</v>
      </c>
      <c r="E1283" s="82">
        <v>15402</v>
      </c>
      <c r="F1283" s="83">
        <v>1</v>
      </c>
    </row>
    <row r="1284" spans="1:6">
      <c r="A1284" s="76" t="s">
        <v>237</v>
      </c>
      <c r="B1284" s="83" t="str">
        <f>TEXT("20190353",REPT(0,8))</f>
        <v>20190353</v>
      </c>
      <c r="C1284" s="83" t="s">
        <v>492</v>
      </c>
      <c r="D1284" s="83" t="s">
        <v>7</v>
      </c>
      <c r="E1284" s="82">
        <v>15402</v>
      </c>
      <c r="F1284" s="83">
        <v>1</v>
      </c>
    </row>
    <row r="1285" spans="1:6">
      <c r="A1285" s="76" t="s">
        <v>237</v>
      </c>
      <c r="B1285" s="83" t="str">
        <f>TEXT("20190354",REPT(0,8))</f>
        <v>20190354</v>
      </c>
      <c r="C1285" s="83" t="s">
        <v>492</v>
      </c>
      <c r="D1285" s="83" t="s">
        <v>7</v>
      </c>
      <c r="E1285" s="82">
        <v>15402</v>
      </c>
      <c r="F1285" s="83">
        <v>1</v>
      </c>
    </row>
    <row r="1286" spans="1:6">
      <c r="A1286" s="76" t="s">
        <v>237</v>
      </c>
      <c r="B1286" s="83" t="str">
        <f>TEXT("20190355",REPT(0,8))</f>
        <v>20190355</v>
      </c>
      <c r="C1286" s="83" t="s">
        <v>492</v>
      </c>
      <c r="D1286" s="83" t="s">
        <v>7</v>
      </c>
      <c r="E1286" s="82">
        <v>15402</v>
      </c>
      <c r="F1286" s="83">
        <v>1</v>
      </c>
    </row>
    <row r="1287" spans="1:6">
      <c r="A1287" s="76" t="s">
        <v>237</v>
      </c>
      <c r="B1287" s="83" t="str">
        <f>TEXT("20190356",REPT(0,8))</f>
        <v>20190356</v>
      </c>
      <c r="C1287" s="83" t="s">
        <v>492</v>
      </c>
      <c r="D1287" s="83" t="s">
        <v>7</v>
      </c>
      <c r="E1287" s="82">
        <v>15402</v>
      </c>
      <c r="F1287" s="83">
        <v>1</v>
      </c>
    </row>
    <row r="1288" spans="1:6">
      <c r="A1288" s="76" t="s">
        <v>237</v>
      </c>
      <c r="B1288" s="83" t="str">
        <f>TEXT("20190357",REPT(0,8))</f>
        <v>20190357</v>
      </c>
      <c r="C1288" s="83" t="s">
        <v>492</v>
      </c>
      <c r="D1288" s="83" t="s">
        <v>7</v>
      </c>
      <c r="E1288" s="82">
        <v>15402</v>
      </c>
      <c r="F1288" s="83">
        <v>1</v>
      </c>
    </row>
    <row r="1289" spans="1:6">
      <c r="A1289" s="76" t="s">
        <v>237</v>
      </c>
      <c r="B1289" s="83" t="str">
        <f>TEXT("20190358",REPT(0,8))</f>
        <v>20190358</v>
      </c>
      <c r="C1289" s="83" t="s">
        <v>492</v>
      </c>
      <c r="D1289" s="83" t="s">
        <v>7</v>
      </c>
      <c r="E1289" s="82">
        <v>15402</v>
      </c>
      <c r="F1289" s="83">
        <v>1</v>
      </c>
    </row>
    <row r="1290" spans="1:6">
      <c r="A1290" s="76" t="s">
        <v>237</v>
      </c>
      <c r="B1290" s="83" t="str">
        <f>TEXT("20190359",REPT(0,8))</f>
        <v>20190359</v>
      </c>
      <c r="C1290" s="83" t="s">
        <v>492</v>
      </c>
      <c r="D1290" s="83" t="s">
        <v>7</v>
      </c>
      <c r="E1290" s="82">
        <v>15402</v>
      </c>
      <c r="F1290" s="83">
        <v>1</v>
      </c>
    </row>
    <row r="1291" s="50" customFormat="1" spans="1:6">
      <c r="A1291" s="76" t="s">
        <v>237</v>
      </c>
      <c r="B1291" s="73" t="str">
        <f>TEXT("20080416",REPT(0,8))</f>
        <v>20080416</v>
      </c>
      <c r="C1291" s="73" t="s">
        <v>494</v>
      </c>
      <c r="D1291" s="72" t="s">
        <v>7</v>
      </c>
      <c r="E1291" s="82"/>
      <c r="F1291" s="83">
        <v>1</v>
      </c>
    </row>
    <row r="1292" s="50" customFormat="1" spans="1:6">
      <c r="A1292" s="76" t="s">
        <v>237</v>
      </c>
      <c r="B1292" s="73" t="str">
        <f>TEXT("20080417",REPT(0,8))</f>
        <v>20080417</v>
      </c>
      <c r="C1292" s="73" t="s">
        <v>495</v>
      </c>
      <c r="D1292" s="72" t="s">
        <v>7</v>
      </c>
      <c r="E1292" s="82"/>
      <c r="F1292" s="83">
        <v>1</v>
      </c>
    </row>
    <row r="1293" s="50" customFormat="1" spans="1:6">
      <c r="A1293" s="76" t="s">
        <v>237</v>
      </c>
      <c r="B1293" s="73" t="str">
        <f>TEXT("20080418",REPT(0,8))</f>
        <v>20080418</v>
      </c>
      <c r="C1293" s="73" t="s">
        <v>496</v>
      </c>
      <c r="D1293" s="72" t="s">
        <v>7</v>
      </c>
      <c r="E1293" s="82"/>
      <c r="F1293" s="83">
        <v>1</v>
      </c>
    </row>
    <row r="1294" s="50" customFormat="1" spans="1:6">
      <c r="A1294" s="76" t="s">
        <v>237</v>
      </c>
      <c r="B1294" s="73" t="str">
        <f>TEXT("20080419",REPT(0,8))</f>
        <v>20080419</v>
      </c>
      <c r="C1294" s="73" t="s">
        <v>496</v>
      </c>
      <c r="D1294" s="72" t="s">
        <v>7</v>
      </c>
      <c r="E1294" s="82"/>
      <c r="F1294" s="83">
        <v>1</v>
      </c>
    </row>
    <row r="1295" s="50" customFormat="1" spans="1:6">
      <c r="A1295" s="76" t="s">
        <v>237</v>
      </c>
      <c r="B1295" s="73" t="str">
        <f>TEXT("20080420",REPT(0,8))</f>
        <v>20080420</v>
      </c>
      <c r="C1295" s="73" t="s">
        <v>497</v>
      </c>
      <c r="D1295" s="72" t="s">
        <v>7</v>
      </c>
      <c r="E1295" s="82"/>
      <c r="F1295" s="83">
        <v>1</v>
      </c>
    </row>
    <row r="1296" s="50" customFormat="1" spans="1:6">
      <c r="A1296" s="76" t="s">
        <v>237</v>
      </c>
      <c r="B1296" s="73" t="str">
        <f>TEXT("20080421",REPT(0,8))</f>
        <v>20080421</v>
      </c>
      <c r="C1296" s="73" t="s">
        <v>498</v>
      </c>
      <c r="D1296" s="72" t="s">
        <v>7</v>
      </c>
      <c r="E1296" s="82"/>
      <c r="F1296" s="83">
        <v>1</v>
      </c>
    </row>
    <row r="1297" s="50" customFormat="1" spans="1:6">
      <c r="A1297" s="76" t="s">
        <v>237</v>
      </c>
      <c r="B1297" s="73" t="str">
        <f>TEXT("20050785",REPT(0,8))</f>
        <v>20050785</v>
      </c>
      <c r="C1297" s="73" t="s">
        <v>499</v>
      </c>
      <c r="D1297" s="72" t="s">
        <v>7</v>
      </c>
      <c r="E1297" s="82"/>
      <c r="F1297" s="83">
        <v>1</v>
      </c>
    </row>
    <row r="1298" s="50" customFormat="1" spans="1:6">
      <c r="A1298" s="76" t="s">
        <v>237</v>
      </c>
      <c r="B1298" s="73" t="str">
        <f>TEXT("20050786",REPT(0,8))</f>
        <v>20050786</v>
      </c>
      <c r="C1298" s="73" t="s">
        <v>499</v>
      </c>
      <c r="D1298" s="72" t="s">
        <v>7</v>
      </c>
      <c r="E1298" s="82"/>
      <c r="F1298" s="83">
        <v>1</v>
      </c>
    </row>
    <row r="1299" s="50" customFormat="1" spans="1:6">
      <c r="A1299" s="76" t="s">
        <v>237</v>
      </c>
      <c r="B1299" s="73" t="str">
        <f>TEXT("20050787",REPT(0,8))</f>
        <v>20050787</v>
      </c>
      <c r="C1299" s="73" t="s">
        <v>499</v>
      </c>
      <c r="D1299" s="72" t="s">
        <v>7</v>
      </c>
      <c r="E1299" s="82"/>
      <c r="F1299" s="83">
        <v>1</v>
      </c>
    </row>
    <row r="1300" s="50" customFormat="1" spans="1:6">
      <c r="A1300" s="76" t="s">
        <v>237</v>
      </c>
      <c r="B1300" s="73" t="str">
        <f>TEXT("20050788",REPT(0,8))</f>
        <v>20050788</v>
      </c>
      <c r="C1300" s="73" t="s">
        <v>499</v>
      </c>
      <c r="D1300" s="72" t="s">
        <v>7</v>
      </c>
      <c r="E1300" s="82"/>
      <c r="F1300" s="83">
        <v>1</v>
      </c>
    </row>
    <row r="1301" s="50" customFormat="1" spans="1:6">
      <c r="A1301" s="76" t="s">
        <v>237</v>
      </c>
      <c r="B1301" s="73" t="str">
        <f>TEXT("20050789",REPT(0,8))</f>
        <v>20050789</v>
      </c>
      <c r="C1301" s="73" t="s">
        <v>499</v>
      </c>
      <c r="D1301" s="72" t="s">
        <v>7</v>
      </c>
      <c r="E1301" s="82"/>
      <c r="F1301" s="83">
        <v>1</v>
      </c>
    </row>
    <row r="1302" s="50" customFormat="1" spans="1:6">
      <c r="A1302" s="76" t="s">
        <v>237</v>
      </c>
      <c r="B1302" s="73" t="str">
        <f>TEXT("20050790",REPT(0,8))</f>
        <v>20050790</v>
      </c>
      <c r="C1302" s="73" t="s">
        <v>499</v>
      </c>
      <c r="D1302" s="72" t="s">
        <v>7</v>
      </c>
      <c r="E1302" s="82"/>
      <c r="F1302" s="83">
        <v>1</v>
      </c>
    </row>
    <row r="1303" s="50" customFormat="1" spans="1:6">
      <c r="A1303" s="76" t="s">
        <v>237</v>
      </c>
      <c r="B1303" s="73" t="str">
        <f>TEXT("20050791",REPT(0,8))</f>
        <v>20050791</v>
      </c>
      <c r="C1303" s="73" t="s">
        <v>499</v>
      </c>
      <c r="D1303" s="72" t="s">
        <v>7</v>
      </c>
      <c r="E1303" s="82"/>
      <c r="F1303" s="83">
        <v>1</v>
      </c>
    </row>
    <row r="1304" s="50" customFormat="1" spans="1:6">
      <c r="A1304" s="76" t="s">
        <v>237</v>
      </c>
      <c r="B1304" s="73" t="str">
        <f>TEXT("20050792",REPT(0,8))</f>
        <v>20050792</v>
      </c>
      <c r="C1304" s="73" t="s">
        <v>499</v>
      </c>
      <c r="D1304" s="72" t="s">
        <v>7</v>
      </c>
      <c r="E1304" s="82"/>
      <c r="F1304" s="83">
        <v>1</v>
      </c>
    </row>
    <row r="1305" s="50" customFormat="1" spans="1:6">
      <c r="A1305" s="76" t="s">
        <v>237</v>
      </c>
      <c r="B1305" s="73" t="str">
        <f>TEXT("20050793",REPT(0,8))</f>
        <v>20050793</v>
      </c>
      <c r="C1305" s="73" t="s">
        <v>499</v>
      </c>
      <c r="D1305" s="72" t="s">
        <v>7</v>
      </c>
      <c r="E1305" s="82"/>
      <c r="F1305" s="83">
        <v>1</v>
      </c>
    </row>
    <row r="1306" s="50" customFormat="1" spans="1:6">
      <c r="A1306" s="76" t="s">
        <v>237</v>
      </c>
      <c r="B1306" s="73" t="str">
        <f>TEXT("20050794",REPT(0,8))</f>
        <v>20050794</v>
      </c>
      <c r="C1306" s="73" t="s">
        <v>499</v>
      </c>
      <c r="D1306" s="72" t="s">
        <v>7</v>
      </c>
      <c r="E1306" s="82"/>
      <c r="F1306" s="83">
        <v>1</v>
      </c>
    </row>
    <row r="1307" s="50" customFormat="1" spans="1:6">
      <c r="A1307" s="76" t="s">
        <v>237</v>
      </c>
      <c r="B1307" s="73" t="str">
        <f>TEXT("20050795",REPT(0,8))</f>
        <v>20050795</v>
      </c>
      <c r="C1307" s="73" t="s">
        <v>499</v>
      </c>
      <c r="D1307" s="72" t="s">
        <v>7</v>
      </c>
      <c r="E1307" s="82"/>
      <c r="F1307" s="83">
        <v>1</v>
      </c>
    </row>
    <row r="1308" s="50" customFormat="1" spans="1:6">
      <c r="A1308" s="76" t="s">
        <v>237</v>
      </c>
      <c r="B1308" s="73" t="str">
        <f>TEXT("20080422",REPT(0,8))</f>
        <v>20080422</v>
      </c>
      <c r="C1308" s="73" t="s">
        <v>393</v>
      </c>
      <c r="D1308" s="72" t="s">
        <v>7</v>
      </c>
      <c r="E1308" s="82"/>
      <c r="F1308" s="83">
        <v>1</v>
      </c>
    </row>
    <row r="1309" s="50" customFormat="1" spans="1:6">
      <c r="A1309" s="76" t="s">
        <v>237</v>
      </c>
      <c r="B1309" s="73" t="str">
        <f>TEXT("20080426",REPT(0,8))</f>
        <v>20080426</v>
      </c>
      <c r="C1309" s="73" t="s">
        <v>500</v>
      </c>
      <c r="D1309" s="72" t="s">
        <v>7</v>
      </c>
      <c r="E1309" s="82"/>
      <c r="F1309" s="83">
        <v>1</v>
      </c>
    </row>
    <row r="1310" s="50" customFormat="1" spans="1:6">
      <c r="A1310" s="76" t="s">
        <v>237</v>
      </c>
      <c r="B1310" s="73" t="str">
        <f>TEXT("20020812",REPT(0,8))</f>
        <v>20020812</v>
      </c>
      <c r="C1310" s="73" t="s">
        <v>392</v>
      </c>
      <c r="D1310" s="72" t="s">
        <v>7</v>
      </c>
      <c r="E1310" s="82"/>
      <c r="F1310" s="83">
        <v>1</v>
      </c>
    </row>
    <row r="1311" s="50" customFormat="1" spans="1:6">
      <c r="A1311" s="76" t="s">
        <v>237</v>
      </c>
      <c r="B1311" s="73" t="str">
        <f>TEXT("20020813",REPT(0,8))</f>
        <v>20020813</v>
      </c>
      <c r="C1311" s="73" t="s">
        <v>392</v>
      </c>
      <c r="D1311" s="72" t="s">
        <v>7</v>
      </c>
      <c r="E1311" s="82"/>
      <c r="F1311" s="83">
        <v>1</v>
      </c>
    </row>
    <row r="1312" spans="1:6">
      <c r="A1312" s="76" t="s">
        <v>237</v>
      </c>
      <c r="B1312" s="83" t="str">
        <f>TEXT("20230959",REPT(0,8))</f>
        <v>20230959</v>
      </c>
      <c r="C1312" s="83" t="s">
        <v>501</v>
      </c>
      <c r="D1312" s="83" t="s">
        <v>7</v>
      </c>
      <c r="E1312" s="82">
        <v>15219</v>
      </c>
      <c r="F1312" s="83">
        <v>1</v>
      </c>
    </row>
    <row r="1313" spans="1:6">
      <c r="A1313" s="76" t="s">
        <v>237</v>
      </c>
      <c r="B1313" s="83" t="str">
        <f>TEXT("20220384",REPT(0,8))</f>
        <v>20220384</v>
      </c>
      <c r="C1313" s="83" t="s">
        <v>502</v>
      </c>
      <c r="D1313" s="83" t="s">
        <v>7</v>
      </c>
      <c r="E1313" s="82">
        <v>15227</v>
      </c>
      <c r="F1313" s="83">
        <v>1</v>
      </c>
    </row>
    <row r="1314" spans="1:6">
      <c r="A1314" s="76" t="s">
        <v>237</v>
      </c>
      <c r="B1314" s="83" t="str">
        <f>TEXT("20220385",REPT(0,8))</f>
        <v>20220385</v>
      </c>
      <c r="C1314" s="83" t="s">
        <v>502</v>
      </c>
      <c r="D1314" s="83" t="s">
        <v>7</v>
      </c>
      <c r="E1314" s="82">
        <v>15227</v>
      </c>
      <c r="F1314" s="83">
        <v>1</v>
      </c>
    </row>
    <row r="1315" spans="1:6">
      <c r="A1315" s="76" t="s">
        <v>237</v>
      </c>
      <c r="B1315" s="83" t="str">
        <f>TEXT("20220386",REPT(0,8))</f>
        <v>20220386</v>
      </c>
      <c r="C1315" s="83" t="s">
        <v>502</v>
      </c>
      <c r="D1315" s="83" t="s">
        <v>7</v>
      </c>
      <c r="E1315" s="82">
        <v>15227</v>
      </c>
      <c r="F1315" s="83">
        <v>1</v>
      </c>
    </row>
    <row r="1316" spans="1:6">
      <c r="A1316" s="76" t="s">
        <v>237</v>
      </c>
      <c r="B1316" s="83" t="str">
        <f>TEXT("20220387",REPT(0,8))</f>
        <v>20220387</v>
      </c>
      <c r="C1316" s="83" t="s">
        <v>502</v>
      </c>
      <c r="D1316" s="83" t="s">
        <v>7</v>
      </c>
      <c r="E1316" s="82">
        <v>15227</v>
      </c>
      <c r="F1316" s="83">
        <v>1</v>
      </c>
    </row>
    <row r="1317" spans="1:6">
      <c r="A1317" s="76" t="s">
        <v>237</v>
      </c>
      <c r="B1317" s="83" t="str">
        <f>TEXT("20220388",REPT(0,8))</f>
        <v>20220388</v>
      </c>
      <c r="C1317" s="83" t="s">
        <v>503</v>
      </c>
      <c r="D1317" s="83" t="s">
        <v>7</v>
      </c>
      <c r="E1317" s="82">
        <v>15227</v>
      </c>
      <c r="F1317" s="83">
        <v>1</v>
      </c>
    </row>
    <row r="1318" spans="1:6">
      <c r="A1318" s="76" t="s">
        <v>237</v>
      </c>
      <c r="B1318" s="83" t="str">
        <f>TEXT("20220389",REPT(0,8))</f>
        <v>20220389</v>
      </c>
      <c r="C1318" s="83" t="s">
        <v>503</v>
      </c>
      <c r="D1318" s="83" t="s">
        <v>7</v>
      </c>
      <c r="E1318" s="82">
        <v>15227</v>
      </c>
      <c r="F1318" s="83">
        <v>1</v>
      </c>
    </row>
    <row r="1319" spans="1:6">
      <c r="A1319" s="76" t="s">
        <v>237</v>
      </c>
      <c r="B1319" s="83" t="str">
        <f>TEXT("20220390",REPT(0,8))</f>
        <v>20220390</v>
      </c>
      <c r="C1319" s="83" t="s">
        <v>504</v>
      </c>
      <c r="D1319" s="83" t="s">
        <v>7</v>
      </c>
      <c r="E1319" s="82">
        <v>15227</v>
      </c>
      <c r="F1319" s="83">
        <v>1</v>
      </c>
    </row>
    <row r="1320" spans="1:6">
      <c r="A1320" s="76" t="s">
        <v>237</v>
      </c>
      <c r="B1320" s="83" t="str">
        <f>TEXT("20220391",REPT(0,8))</f>
        <v>20220391</v>
      </c>
      <c r="C1320" s="83" t="s">
        <v>505</v>
      </c>
      <c r="D1320" s="83" t="s">
        <v>7</v>
      </c>
      <c r="E1320" s="82">
        <v>15227</v>
      </c>
      <c r="F1320" s="83">
        <v>1</v>
      </c>
    </row>
    <row r="1321" spans="1:6">
      <c r="A1321" s="76" t="s">
        <v>237</v>
      </c>
      <c r="B1321" s="83" t="str">
        <f>TEXT("20220392",REPT(0,8))</f>
        <v>20220392</v>
      </c>
      <c r="C1321" s="83" t="s">
        <v>506</v>
      </c>
      <c r="D1321" s="83" t="s">
        <v>7</v>
      </c>
      <c r="E1321" s="82">
        <v>15227</v>
      </c>
      <c r="F1321" s="83">
        <v>1</v>
      </c>
    </row>
    <row r="1322" spans="1:6">
      <c r="A1322" s="76" t="s">
        <v>237</v>
      </c>
      <c r="B1322" s="83" t="str">
        <f>TEXT("20220393",REPT(0,8))</f>
        <v>20220393</v>
      </c>
      <c r="C1322" s="83" t="s">
        <v>506</v>
      </c>
      <c r="D1322" s="83" t="s">
        <v>7</v>
      </c>
      <c r="E1322" s="82">
        <v>15227</v>
      </c>
      <c r="F1322" s="83">
        <v>1</v>
      </c>
    </row>
    <row r="1323" spans="1:6">
      <c r="A1323" s="76" t="s">
        <v>237</v>
      </c>
      <c r="B1323" s="83" t="str">
        <f>TEXT("20220394",REPT(0,8))</f>
        <v>20220394</v>
      </c>
      <c r="C1323" s="83" t="s">
        <v>506</v>
      </c>
      <c r="D1323" s="83" t="s">
        <v>7</v>
      </c>
      <c r="E1323" s="82">
        <v>15227</v>
      </c>
      <c r="F1323" s="83">
        <v>1</v>
      </c>
    </row>
    <row r="1324" spans="1:6">
      <c r="A1324" s="76" t="s">
        <v>237</v>
      </c>
      <c r="B1324" s="83" t="str">
        <f>TEXT("20220395",REPT(0,8))</f>
        <v>20220395</v>
      </c>
      <c r="C1324" s="83" t="s">
        <v>506</v>
      </c>
      <c r="D1324" s="83" t="s">
        <v>7</v>
      </c>
      <c r="E1324" s="82">
        <v>15227</v>
      </c>
      <c r="F1324" s="83">
        <v>1</v>
      </c>
    </row>
    <row r="1325" spans="1:6">
      <c r="A1325" s="76" t="s">
        <v>237</v>
      </c>
      <c r="B1325" s="83" t="str">
        <f>TEXT("20220396",REPT(0,8))</f>
        <v>20220396</v>
      </c>
      <c r="C1325" s="83" t="s">
        <v>506</v>
      </c>
      <c r="D1325" s="83" t="s">
        <v>7</v>
      </c>
      <c r="E1325" s="82">
        <v>15227</v>
      </c>
      <c r="F1325" s="83">
        <v>1</v>
      </c>
    </row>
    <row r="1326" spans="1:6">
      <c r="A1326" s="76" t="s">
        <v>237</v>
      </c>
      <c r="B1326" s="83" t="str">
        <f>TEXT("20220397",REPT(0,8))</f>
        <v>20220397</v>
      </c>
      <c r="C1326" s="83" t="s">
        <v>506</v>
      </c>
      <c r="D1326" s="83" t="s">
        <v>7</v>
      </c>
      <c r="E1326" s="82">
        <v>15227</v>
      </c>
      <c r="F1326" s="83">
        <v>1</v>
      </c>
    </row>
    <row r="1327" spans="1:6">
      <c r="A1327" s="76" t="s">
        <v>237</v>
      </c>
      <c r="B1327" s="83" t="str">
        <f>TEXT("20220398",REPT(0,8))</f>
        <v>20220398</v>
      </c>
      <c r="C1327" s="83" t="s">
        <v>507</v>
      </c>
      <c r="D1327" s="83" t="s">
        <v>7</v>
      </c>
      <c r="E1327" s="82">
        <v>15227</v>
      </c>
      <c r="F1327" s="83">
        <v>1</v>
      </c>
    </row>
    <row r="1328" spans="1:6">
      <c r="A1328" s="76" t="s">
        <v>237</v>
      </c>
      <c r="B1328" s="83" t="str">
        <f>TEXT("20170449",REPT(0,8))</f>
        <v>20170449</v>
      </c>
      <c r="C1328" s="83" t="s">
        <v>508</v>
      </c>
      <c r="D1328" s="83" t="s">
        <v>7</v>
      </c>
      <c r="E1328" s="47">
        <v>15225</v>
      </c>
      <c r="F1328" s="83">
        <v>1</v>
      </c>
    </row>
    <row r="1329" spans="1:6">
      <c r="A1329" s="76" t="s">
        <v>237</v>
      </c>
      <c r="B1329" s="83" t="str">
        <f>TEXT("20120979",REPT(0,8))</f>
        <v>20120979</v>
      </c>
      <c r="C1329" s="83" t="s">
        <v>313</v>
      </c>
      <c r="D1329" s="83" t="s">
        <v>7</v>
      </c>
      <c r="E1329" s="82">
        <v>15221</v>
      </c>
      <c r="F1329" s="83">
        <v>1</v>
      </c>
    </row>
    <row r="1330" spans="1:6">
      <c r="A1330" s="76" t="s">
        <v>237</v>
      </c>
      <c r="B1330" s="83" t="str">
        <f>TEXT("20170448",REPT(0,8))</f>
        <v>20170448</v>
      </c>
      <c r="C1330" s="83" t="s">
        <v>508</v>
      </c>
      <c r="D1330" s="83" t="s">
        <v>7</v>
      </c>
      <c r="E1330" s="47">
        <v>15223</v>
      </c>
      <c r="F1330" s="83">
        <v>1</v>
      </c>
    </row>
    <row r="1331" spans="1:6">
      <c r="A1331" s="76" t="s">
        <v>237</v>
      </c>
      <c r="B1331" s="83" t="str">
        <f>TEXT("20230941",REPT(0,8))</f>
        <v>20230941</v>
      </c>
      <c r="C1331" s="83" t="s">
        <v>501</v>
      </c>
      <c r="D1331" s="83" t="s">
        <v>7</v>
      </c>
      <c r="E1331" s="82">
        <v>12201</v>
      </c>
      <c r="F1331" s="83">
        <v>1</v>
      </c>
    </row>
    <row r="1332" spans="1:6">
      <c r="A1332" s="76" t="s">
        <v>237</v>
      </c>
      <c r="B1332" s="83" t="str">
        <f>TEXT("20180900",REPT(0,8))</f>
        <v>20180900</v>
      </c>
      <c r="C1332" s="83" t="s">
        <v>509</v>
      </c>
      <c r="D1332" s="83" t="s">
        <v>7</v>
      </c>
      <c r="E1332" s="82" t="s">
        <v>510</v>
      </c>
      <c r="F1332" s="83">
        <v>1</v>
      </c>
    </row>
    <row r="1333" spans="1:6">
      <c r="A1333" s="76" t="s">
        <v>237</v>
      </c>
      <c r="B1333" s="83" t="str">
        <f>TEXT("20180901",REPT(0,8))</f>
        <v>20180901</v>
      </c>
      <c r="C1333" s="83" t="s">
        <v>509</v>
      </c>
      <c r="D1333" s="83" t="s">
        <v>7</v>
      </c>
      <c r="E1333" s="82" t="s">
        <v>510</v>
      </c>
      <c r="F1333" s="83">
        <v>1</v>
      </c>
    </row>
    <row r="1334" spans="1:6">
      <c r="A1334" s="76" t="s">
        <v>237</v>
      </c>
      <c r="B1334" s="83" t="str">
        <f>TEXT("20180902",REPT(0,8))</f>
        <v>20180902</v>
      </c>
      <c r="C1334" s="83" t="s">
        <v>509</v>
      </c>
      <c r="D1334" s="83" t="s">
        <v>7</v>
      </c>
      <c r="E1334" s="82" t="s">
        <v>510</v>
      </c>
      <c r="F1334" s="83">
        <v>1</v>
      </c>
    </row>
    <row r="1335" s="50" customFormat="1" spans="1:6">
      <c r="A1335" s="76" t="s">
        <v>237</v>
      </c>
      <c r="B1335" s="73" t="str">
        <f>TEXT("20110063",REPT(0,8))</f>
        <v>20110063</v>
      </c>
      <c r="C1335" s="73" t="s">
        <v>511</v>
      </c>
      <c r="D1335" s="72" t="s">
        <v>7</v>
      </c>
      <c r="E1335" s="82" t="s">
        <v>510</v>
      </c>
      <c r="F1335" s="83">
        <v>1</v>
      </c>
    </row>
    <row r="1336" spans="1:6">
      <c r="A1336" s="76" t="s">
        <v>237</v>
      </c>
      <c r="B1336" s="83" t="str">
        <f>TEXT("20160624",REPT(0,8))</f>
        <v>20160624</v>
      </c>
      <c r="C1336" s="83" t="s">
        <v>332</v>
      </c>
      <c r="D1336" s="83" t="s">
        <v>7</v>
      </c>
      <c r="E1336" s="82" t="s">
        <v>512</v>
      </c>
      <c r="F1336" s="83">
        <v>1</v>
      </c>
    </row>
    <row r="1337" spans="1:6">
      <c r="A1337" s="76" t="s">
        <v>237</v>
      </c>
      <c r="B1337" s="83" t="str">
        <f>TEXT("20160625",REPT(0,8))</f>
        <v>20160625</v>
      </c>
      <c r="C1337" s="83" t="s">
        <v>332</v>
      </c>
      <c r="D1337" s="83" t="s">
        <v>7</v>
      </c>
      <c r="E1337" s="82" t="s">
        <v>512</v>
      </c>
      <c r="F1337" s="83">
        <v>1</v>
      </c>
    </row>
    <row r="1338" spans="1:6">
      <c r="A1338" s="76" t="s">
        <v>237</v>
      </c>
      <c r="B1338" s="83" t="str">
        <f>TEXT("20160626",REPT(0,8))</f>
        <v>20160626</v>
      </c>
      <c r="C1338" s="83" t="s">
        <v>332</v>
      </c>
      <c r="D1338" s="83" t="s">
        <v>7</v>
      </c>
      <c r="E1338" s="82" t="s">
        <v>512</v>
      </c>
      <c r="F1338" s="83">
        <v>1</v>
      </c>
    </row>
    <row r="1339" spans="1:6">
      <c r="A1339" s="76" t="s">
        <v>237</v>
      </c>
      <c r="B1339" s="83" t="str">
        <f>TEXT("20160627",REPT(0,8))</f>
        <v>20160627</v>
      </c>
      <c r="C1339" s="83" t="s">
        <v>332</v>
      </c>
      <c r="D1339" s="83" t="s">
        <v>7</v>
      </c>
      <c r="E1339" s="82" t="s">
        <v>512</v>
      </c>
      <c r="F1339" s="83">
        <v>1</v>
      </c>
    </row>
    <row r="1340" spans="1:6">
      <c r="A1340" s="76" t="s">
        <v>237</v>
      </c>
      <c r="B1340" s="83" t="str">
        <f>TEXT("20160628",REPT(0,8))</f>
        <v>20160628</v>
      </c>
      <c r="C1340" s="83" t="s">
        <v>332</v>
      </c>
      <c r="D1340" s="83" t="s">
        <v>7</v>
      </c>
      <c r="E1340" s="82" t="s">
        <v>512</v>
      </c>
      <c r="F1340" s="83">
        <v>1</v>
      </c>
    </row>
    <row r="1341" spans="1:6">
      <c r="A1341" s="76" t="s">
        <v>237</v>
      </c>
      <c r="B1341" s="83" t="str">
        <f>TEXT("20160629",REPT(0,8))</f>
        <v>20160629</v>
      </c>
      <c r="C1341" s="83" t="s">
        <v>332</v>
      </c>
      <c r="D1341" s="83" t="s">
        <v>7</v>
      </c>
      <c r="E1341" s="82" t="s">
        <v>512</v>
      </c>
      <c r="F1341" s="83">
        <v>1</v>
      </c>
    </row>
    <row r="1342" spans="1:6">
      <c r="A1342" s="76" t="s">
        <v>237</v>
      </c>
      <c r="B1342" s="83" t="str">
        <f>TEXT("20170454",REPT(0,8))</f>
        <v>20170454</v>
      </c>
      <c r="C1342" s="83" t="s">
        <v>513</v>
      </c>
      <c r="D1342" s="83" t="s">
        <v>7</v>
      </c>
      <c r="E1342" s="82" t="s">
        <v>512</v>
      </c>
      <c r="F1342" s="83">
        <v>1</v>
      </c>
    </row>
    <row r="1343" spans="1:6">
      <c r="A1343" s="76" t="s">
        <v>237</v>
      </c>
      <c r="B1343" s="83" t="str">
        <f>TEXT("20170455",REPT(0,8))</f>
        <v>20170455</v>
      </c>
      <c r="C1343" s="83" t="s">
        <v>513</v>
      </c>
      <c r="D1343" s="83" t="s">
        <v>7</v>
      </c>
      <c r="E1343" s="82" t="s">
        <v>512</v>
      </c>
      <c r="F1343" s="83">
        <v>1</v>
      </c>
    </row>
    <row r="1344" spans="1:6">
      <c r="A1344" s="76" t="s">
        <v>237</v>
      </c>
      <c r="B1344" s="83">
        <v>1</v>
      </c>
      <c r="C1344" s="74" t="s">
        <v>234</v>
      </c>
      <c r="D1344" s="83" t="s">
        <v>7</v>
      </c>
      <c r="F1344" s="83">
        <v>1</v>
      </c>
    </row>
    <row r="1345" spans="1:6">
      <c r="A1345" s="76" t="s">
        <v>237</v>
      </c>
      <c r="B1345" s="83">
        <v>2</v>
      </c>
      <c r="C1345" s="74" t="s">
        <v>234</v>
      </c>
      <c r="D1345" s="83" t="s">
        <v>7</v>
      </c>
      <c r="F1345" s="83">
        <v>1</v>
      </c>
    </row>
    <row r="1346" spans="1:6">
      <c r="A1346" s="76" t="s">
        <v>237</v>
      </c>
      <c r="B1346" s="83">
        <v>3</v>
      </c>
      <c r="C1346" s="85" t="s">
        <v>234</v>
      </c>
      <c r="D1346" s="83" t="s">
        <v>7</v>
      </c>
      <c r="F1346" s="83">
        <v>1</v>
      </c>
    </row>
    <row r="1347" spans="1:6">
      <c r="A1347" s="76" t="s">
        <v>237</v>
      </c>
      <c r="B1347" s="83">
        <v>4</v>
      </c>
      <c r="C1347" s="74" t="s">
        <v>234</v>
      </c>
      <c r="D1347" s="83" t="s">
        <v>7</v>
      </c>
      <c r="F1347" s="83">
        <v>1</v>
      </c>
    </row>
    <row r="1348" spans="1:6">
      <c r="A1348" s="76" t="s">
        <v>237</v>
      </c>
      <c r="B1348" s="83">
        <v>5</v>
      </c>
      <c r="C1348" s="74" t="s">
        <v>234</v>
      </c>
      <c r="D1348" s="83" t="s">
        <v>7</v>
      </c>
      <c r="F1348" s="83">
        <v>1</v>
      </c>
    </row>
    <row r="1349" spans="1:6">
      <c r="A1349" s="76" t="s">
        <v>237</v>
      </c>
      <c r="B1349" s="83">
        <v>6</v>
      </c>
      <c r="C1349" s="74" t="s">
        <v>234</v>
      </c>
      <c r="D1349" s="83" t="s">
        <v>7</v>
      </c>
      <c r="F1349" s="83">
        <v>1</v>
      </c>
    </row>
    <row r="1350" spans="1:6">
      <c r="A1350" s="76" t="s">
        <v>237</v>
      </c>
      <c r="B1350" s="83">
        <v>7</v>
      </c>
      <c r="C1350" s="74" t="s">
        <v>234</v>
      </c>
      <c r="D1350" s="83" t="s">
        <v>7</v>
      </c>
      <c r="F1350" s="83">
        <v>1</v>
      </c>
    </row>
    <row r="1351" spans="1:6">
      <c r="A1351" s="76" t="s">
        <v>237</v>
      </c>
      <c r="B1351" s="83">
        <v>8</v>
      </c>
      <c r="C1351" s="74" t="s">
        <v>234</v>
      </c>
      <c r="D1351" s="83" t="s">
        <v>7</v>
      </c>
      <c r="F1351" s="83">
        <v>1</v>
      </c>
    </row>
    <row r="1352" spans="1:6">
      <c r="A1352" s="76" t="s">
        <v>237</v>
      </c>
      <c r="B1352" s="83">
        <v>9</v>
      </c>
      <c r="C1352" s="74" t="s">
        <v>234</v>
      </c>
      <c r="D1352" s="83" t="s">
        <v>7</v>
      </c>
      <c r="F1352" s="83">
        <v>1</v>
      </c>
    </row>
    <row r="1353" spans="1:6">
      <c r="A1353" s="76" t="s">
        <v>237</v>
      </c>
      <c r="B1353" s="83">
        <v>10</v>
      </c>
      <c r="C1353" s="74" t="s">
        <v>234</v>
      </c>
      <c r="D1353" s="83" t="s">
        <v>7</v>
      </c>
      <c r="F1353" s="83">
        <v>1</v>
      </c>
    </row>
    <row r="1354" spans="1:6">
      <c r="A1354" s="76" t="s">
        <v>237</v>
      </c>
      <c r="B1354" s="83">
        <v>11</v>
      </c>
      <c r="C1354" s="74" t="s">
        <v>234</v>
      </c>
      <c r="D1354" s="83" t="s">
        <v>7</v>
      </c>
      <c r="F1354" s="83">
        <v>1</v>
      </c>
    </row>
    <row r="1355" spans="1:6">
      <c r="A1355" s="76" t="s">
        <v>237</v>
      </c>
      <c r="B1355" s="83">
        <v>12</v>
      </c>
      <c r="C1355" s="74" t="s">
        <v>234</v>
      </c>
      <c r="D1355" s="83" t="s">
        <v>7</v>
      </c>
      <c r="F1355" s="83">
        <v>1</v>
      </c>
    </row>
    <row r="1356" spans="1:6">
      <c r="A1356" s="76" t="s">
        <v>237</v>
      </c>
      <c r="B1356" s="83">
        <v>13</v>
      </c>
      <c r="C1356" s="74" t="s">
        <v>234</v>
      </c>
      <c r="D1356" s="83" t="s">
        <v>7</v>
      </c>
      <c r="F1356" s="83">
        <v>1</v>
      </c>
    </row>
    <row r="1357" spans="1:6">
      <c r="A1357" s="76" t="s">
        <v>237</v>
      </c>
      <c r="B1357" s="83">
        <v>14</v>
      </c>
      <c r="C1357" s="74" t="s">
        <v>234</v>
      </c>
      <c r="D1357" s="83" t="s">
        <v>7</v>
      </c>
      <c r="F1357" s="83">
        <v>1</v>
      </c>
    </row>
    <row r="1358" spans="1:6">
      <c r="A1358" s="76" t="s">
        <v>237</v>
      </c>
      <c r="B1358" s="83">
        <v>15</v>
      </c>
      <c r="C1358" s="74" t="s">
        <v>234</v>
      </c>
      <c r="D1358" s="83" t="s">
        <v>7</v>
      </c>
      <c r="F1358" s="83">
        <v>1</v>
      </c>
    </row>
    <row r="1359" spans="1:6">
      <c r="A1359" s="76" t="s">
        <v>237</v>
      </c>
      <c r="B1359" s="83">
        <v>16</v>
      </c>
      <c r="C1359" s="74" t="s">
        <v>234</v>
      </c>
      <c r="D1359" s="83" t="s">
        <v>7</v>
      </c>
      <c r="F1359" s="83">
        <v>1</v>
      </c>
    </row>
    <row r="1360" spans="1:6">
      <c r="A1360" s="76" t="s">
        <v>237</v>
      </c>
      <c r="B1360" s="83">
        <v>17</v>
      </c>
      <c r="C1360" s="74" t="s">
        <v>234</v>
      </c>
      <c r="D1360" s="83" t="s">
        <v>7</v>
      </c>
      <c r="F1360" s="83">
        <v>1</v>
      </c>
    </row>
    <row r="1361" spans="1:6">
      <c r="A1361" s="76" t="s">
        <v>237</v>
      </c>
      <c r="B1361" s="83">
        <v>18</v>
      </c>
      <c r="C1361" s="74" t="s">
        <v>234</v>
      </c>
      <c r="D1361" s="83" t="s">
        <v>7</v>
      </c>
      <c r="F1361" s="83">
        <v>1</v>
      </c>
    </row>
    <row r="1362" spans="1:6">
      <c r="A1362" s="76" t="s">
        <v>237</v>
      </c>
      <c r="B1362" s="83">
        <v>19</v>
      </c>
      <c r="C1362" s="74" t="s">
        <v>234</v>
      </c>
      <c r="D1362" s="83" t="s">
        <v>7</v>
      </c>
      <c r="F1362" s="83">
        <v>1</v>
      </c>
    </row>
    <row r="1363" spans="1:6">
      <c r="A1363" s="76" t="s">
        <v>237</v>
      </c>
      <c r="B1363" s="83">
        <v>20</v>
      </c>
      <c r="C1363" s="74" t="s">
        <v>234</v>
      </c>
      <c r="D1363" s="83" t="s">
        <v>7</v>
      </c>
      <c r="F1363" s="83">
        <v>1</v>
      </c>
    </row>
    <row r="1364" s="18" customFormat="1" spans="1:16382">
      <c r="A1364" s="76" t="s">
        <v>237</v>
      </c>
      <c r="B1364" s="83">
        <v>21</v>
      </c>
      <c r="C1364" s="74" t="s">
        <v>235</v>
      </c>
      <c r="D1364" s="83" t="s">
        <v>7</v>
      </c>
      <c r="E1364" s="74"/>
      <c r="F1364" s="83">
        <v>1</v>
      </c>
      <c r="G1364" s="76"/>
      <c r="H1364" s="76"/>
      <c r="I1364" s="76"/>
      <c r="J1364" s="76"/>
      <c r="K1364" s="76"/>
      <c r="L1364" s="76"/>
      <c r="M1364" s="76"/>
      <c r="N1364" s="76"/>
      <c r="O1364" s="76"/>
      <c r="P1364" s="76"/>
      <c r="Q1364" s="76"/>
      <c r="R1364" s="76"/>
      <c r="S1364" s="76"/>
      <c r="T1364" s="76"/>
      <c r="U1364" s="76"/>
      <c r="V1364" s="76"/>
      <c r="W1364" s="76"/>
      <c r="X1364" s="76"/>
      <c r="Y1364" s="76"/>
      <c r="Z1364" s="76"/>
      <c r="AA1364" s="76"/>
      <c r="AB1364" s="76"/>
      <c r="AC1364" s="76"/>
      <c r="AD1364" s="76"/>
      <c r="AE1364" s="76"/>
      <c r="AF1364" s="76"/>
      <c r="AG1364" s="76"/>
      <c r="AH1364" s="76"/>
      <c r="AI1364" s="76"/>
      <c r="AJ1364" s="76"/>
      <c r="AK1364" s="76"/>
      <c r="AL1364" s="76"/>
      <c r="AM1364" s="76"/>
      <c r="AN1364" s="76"/>
      <c r="AO1364" s="76"/>
      <c r="AP1364" s="76"/>
      <c r="AQ1364" s="76"/>
      <c r="AR1364" s="76"/>
      <c r="AS1364" s="76"/>
      <c r="AT1364" s="76"/>
      <c r="AU1364" s="76"/>
      <c r="AV1364" s="76"/>
      <c r="AW1364" s="76"/>
      <c r="AX1364" s="76"/>
      <c r="AY1364" s="76"/>
      <c r="AZ1364" s="76"/>
      <c r="BA1364" s="76"/>
      <c r="BB1364" s="76"/>
      <c r="BC1364" s="76"/>
      <c r="BD1364" s="76"/>
      <c r="BE1364" s="76"/>
      <c r="BF1364" s="76"/>
      <c r="BG1364" s="76"/>
      <c r="BH1364" s="76"/>
      <c r="BI1364" s="76"/>
      <c r="BJ1364" s="76"/>
      <c r="BK1364" s="76"/>
      <c r="BL1364" s="76"/>
      <c r="BM1364" s="76"/>
      <c r="BN1364" s="76"/>
      <c r="BO1364" s="76"/>
      <c r="BP1364" s="76"/>
      <c r="BQ1364" s="76"/>
      <c r="BR1364" s="76"/>
      <c r="BS1364" s="76"/>
      <c r="BT1364" s="76"/>
      <c r="BU1364" s="76"/>
      <c r="BV1364" s="76"/>
      <c r="BW1364" s="76"/>
      <c r="BX1364" s="76"/>
      <c r="BY1364" s="76"/>
      <c r="BZ1364" s="76"/>
      <c r="CA1364" s="76"/>
      <c r="CB1364" s="76"/>
      <c r="CC1364" s="76"/>
      <c r="CD1364" s="76"/>
      <c r="CE1364" s="76"/>
      <c r="CF1364" s="76"/>
      <c r="CG1364" s="76"/>
      <c r="CH1364" s="76"/>
      <c r="CI1364" s="76"/>
      <c r="CJ1364" s="76"/>
      <c r="CK1364" s="76"/>
      <c r="CL1364" s="76"/>
      <c r="CM1364" s="76"/>
      <c r="CN1364" s="76"/>
      <c r="CO1364" s="76"/>
      <c r="CP1364" s="76"/>
      <c r="CQ1364" s="76"/>
      <c r="CR1364" s="76"/>
      <c r="CS1364" s="76"/>
      <c r="CT1364" s="76"/>
      <c r="CU1364" s="76"/>
      <c r="CV1364" s="76"/>
      <c r="CW1364" s="76"/>
      <c r="CX1364" s="76"/>
      <c r="CY1364" s="76"/>
      <c r="CZ1364" s="76"/>
      <c r="DA1364" s="76"/>
      <c r="DB1364" s="76"/>
      <c r="DC1364" s="76"/>
      <c r="DD1364" s="76"/>
      <c r="DE1364" s="76"/>
      <c r="DF1364" s="76"/>
      <c r="DG1364" s="76"/>
      <c r="DH1364" s="76"/>
      <c r="DI1364" s="76"/>
      <c r="DJ1364" s="76"/>
      <c r="DK1364" s="76"/>
      <c r="DL1364" s="76"/>
      <c r="DM1364" s="76"/>
      <c r="DN1364" s="76"/>
      <c r="DO1364" s="76"/>
      <c r="DP1364" s="76"/>
      <c r="DQ1364" s="76"/>
      <c r="DR1364" s="76"/>
      <c r="DS1364" s="76"/>
      <c r="DT1364" s="76"/>
      <c r="DU1364" s="76"/>
      <c r="DV1364" s="76"/>
      <c r="DW1364" s="76"/>
      <c r="DX1364" s="76"/>
      <c r="DY1364" s="76"/>
      <c r="DZ1364" s="76"/>
      <c r="EA1364" s="76"/>
      <c r="EB1364" s="76"/>
      <c r="EC1364" s="76"/>
      <c r="ED1364" s="76"/>
      <c r="EE1364" s="76"/>
      <c r="EF1364" s="76"/>
      <c r="EG1364" s="76"/>
      <c r="EH1364" s="76"/>
      <c r="EI1364" s="76"/>
      <c r="EJ1364" s="76"/>
      <c r="EK1364" s="76"/>
      <c r="EL1364" s="76"/>
      <c r="EM1364" s="76"/>
      <c r="EN1364" s="76"/>
      <c r="EO1364" s="76"/>
      <c r="EP1364" s="76"/>
      <c r="EQ1364" s="76"/>
      <c r="ER1364" s="76"/>
      <c r="ES1364" s="76"/>
      <c r="ET1364" s="76"/>
      <c r="EU1364" s="76"/>
      <c r="EV1364" s="76"/>
      <c r="EW1364" s="76"/>
      <c r="EX1364" s="76"/>
      <c r="EY1364" s="76"/>
      <c r="EZ1364" s="76"/>
      <c r="FA1364" s="76"/>
      <c r="FB1364" s="76"/>
      <c r="FC1364" s="76"/>
      <c r="FD1364" s="76"/>
      <c r="FE1364" s="76"/>
      <c r="FF1364" s="76"/>
      <c r="FG1364" s="76"/>
      <c r="FH1364" s="76"/>
      <c r="FI1364" s="76"/>
      <c r="FJ1364" s="76"/>
      <c r="FK1364" s="76"/>
      <c r="FL1364" s="76"/>
      <c r="FM1364" s="76"/>
      <c r="FN1364" s="76"/>
      <c r="FO1364" s="76"/>
      <c r="FP1364" s="76"/>
      <c r="FQ1364" s="76"/>
      <c r="FR1364" s="76"/>
      <c r="FS1364" s="76"/>
      <c r="FT1364" s="76"/>
      <c r="FU1364" s="76"/>
      <c r="FV1364" s="76"/>
      <c r="FW1364" s="76"/>
      <c r="FX1364" s="76"/>
      <c r="FY1364" s="76"/>
      <c r="FZ1364" s="76"/>
      <c r="GA1364" s="76"/>
      <c r="GB1364" s="76"/>
      <c r="GC1364" s="76"/>
      <c r="GD1364" s="76"/>
      <c r="GE1364" s="76"/>
      <c r="GF1364" s="76"/>
      <c r="GG1364" s="76"/>
      <c r="GH1364" s="76"/>
      <c r="GI1364" s="76"/>
      <c r="GJ1364" s="76"/>
      <c r="GK1364" s="76"/>
      <c r="GL1364" s="76"/>
      <c r="GM1364" s="76"/>
      <c r="GN1364" s="76"/>
      <c r="GO1364" s="76"/>
      <c r="GP1364" s="76"/>
      <c r="GQ1364" s="76"/>
      <c r="GR1364" s="76"/>
      <c r="GS1364" s="76"/>
      <c r="GT1364" s="76"/>
      <c r="GU1364" s="76"/>
      <c r="GV1364" s="76"/>
      <c r="GW1364" s="76"/>
      <c r="GX1364" s="76"/>
      <c r="GY1364" s="76"/>
      <c r="GZ1364" s="76"/>
      <c r="HA1364" s="76"/>
      <c r="HB1364" s="76"/>
      <c r="HC1364" s="76"/>
      <c r="HD1364" s="76"/>
      <c r="HE1364" s="76"/>
      <c r="HF1364" s="76"/>
      <c r="HG1364" s="76"/>
      <c r="HH1364" s="76"/>
      <c r="HI1364" s="76"/>
      <c r="HJ1364" s="76"/>
      <c r="HK1364" s="76"/>
      <c r="HL1364" s="76"/>
      <c r="HM1364" s="76"/>
      <c r="HN1364" s="76"/>
      <c r="HO1364" s="76"/>
      <c r="HP1364" s="76"/>
      <c r="HQ1364" s="76"/>
      <c r="HR1364" s="76"/>
      <c r="HS1364" s="76"/>
      <c r="HT1364" s="76"/>
      <c r="HU1364" s="76"/>
      <c r="HV1364" s="76"/>
      <c r="HW1364" s="76"/>
      <c r="HX1364" s="76"/>
      <c r="HY1364" s="76"/>
      <c r="HZ1364" s="76"/>
      <c r="IA1364" s="76"/>
      <c r="IB1364" s="76"/>
      <c r="IC1364" s="76"/>
      <c r="ID1364" s="76"/>
      <c r="IE1364" s="76"/>
      <c r="IF1364" s="76"/>
      <c r="IG1364" s="76"/>
      <c r="IH1364" s="76"/>
      <c r="II1364" s="76"/>
      <c r="IJ1364" s="76"/>
      <c r="IK1364" s="76"/>
      <c r="IL1364" s="76"/>
      <c r="IM1364" s="76"/>
      <c r="IN1364" s="76"/>
      <c r="IO1364" s="76"/>
      <c r="IP1364" s="76"/>
      <c r="IQ1364" s="76"/>
      <c r="IR1364" s="76"/>
      <c r="IS1364" s="76"/>
      <c r="IT1364" s="76"/>
      <c r="IU1364" s="76"/>
      <c r="IV1364" s="76"/>
      <c r="IW1364" s="76"/>
      <c r="IX1364" s="76"/>
      <c r="IY1364" s="76"/>
      <c r="IZ1364" s="76"/>
      <c r="JA1364" s="50"/>
      <c r="JB1364" s="76"/>
      <c r="JC1364" s="76"/>
      <c r="JD1364" s="76"/>
      <c r="JE1364" s="76"/>
      <c r="JF1364" s="76"/>
      <c r="JG1364" s="76"/>
      <c r="JH1364" s="76"/>
      <c r="JI1364" s="76"/>
      <c r="JJ1364" s="76"/>
      <c r="JK1364" s="76"/>
      <c r="JL1364" s="76"/>
      <c r="JM1364" s="76"/>
      <c r="JN1364" s="76"/>
      <c r="JO1364" s="76"/>
      <c r="JP1364" s="76"/>
      <c r="JQ1364" s="76"/>
      <c r="JR1364" s="76"/>
      <c r="JS1364" s="76"/>
      <c r="JT1364" s="76"/>
      <c r="JU1364" s="76"/>
      <c r="JV1364" s="76"/>
      <c r="JW1364" s="76"/>
      <c r="JX1364" s="76"/>
      <c r="JY1364" s="76"/>
      <c r="JZ1364" s="76"/>
      <c r="KA1364" s="76"/>
      <c r="KB1364" s="76"/>
      <c r="KC1364" s="76"/>
      <c r="KD1364" s="76"/>
      <c r="KE1364" s="76"/>
      <c r="KF1364" s="76"/>
      <c r="KG1364" s="76"/>
      <c r="KH1364" s="76"/>
      <c r="KI1364" s="76"/>
      <c r="KJ1364" s="76"/>
      <c r="KK1364" s="76"/>
      <c r="KL1364" s="76"/>
      <c r="KM1364" s="76"/>
      <c r="KN1364" s="76"/>
      <c r="KO1364" s="76"/>
      <c r="KP1364" s="76"/>
      <c r="KQ1364" s="76"/>
      <c r="KR1364" s="76"/>
      <c r="KS1364" s="76"/>
      <c r="KT1364" s="76"/>
      <c r="KU1364" s="76"/>
      <c r="KV1364" s="76"/>
      <c r="KW1364" s="76"/>
      <c r="KX1364" s="76"/>
      <c r="KY1364" s="76"/>
      <c r="KZ1364" s="76"/>
      <c r="LA1364" s="76"/>
      <c r="LB1364" s="76"/>
      <c r="LC1364" s="76"/>
      <c r="LD1364" s="76"/>
      <c r="LE1364" s="76"/>
      <c r="LF1364" s="76"/>
      <c r="LG1364" s="76"/>
      <c r="LH1364" s="76"/>
      <c r="LI1364" s="76"/>
      <c r="LJ1364" s="76"/>
      <c r="LK1364" s="76"/>
      <c r="LL1364" s="76"/>
      <c r="LM1364" s="76"/>
      <c r="LN1364" s="76"/>
      <c r="LO1364" s="76"/>
      <c r="LP1364" s="76"/>
      <c r="LQ1364" s="76"/>
      <c r="LR1364" s="76"/>
      <c r="LS1364" s="76"/>
      <c r="LT1364" s="76"/>
      <c r="LU1364" s="76"/>
      <c r="LV1364" s="76"/>
      <c r="LW1364" s="76"/>
      <c r="LX1364" s="76"/>
      <c r="LY1364" s="76"/>
      <c r="LZ1364" s="76"/>
      <c r="MA1364" s="76"/>
      <c r="MB1364" s="76"/>
      <c r="MC1364" s="76"/>
      <c r="MD1364" s="76"/>
      <c r="ME1364" s="76"/>
      <c r="MF1364" s="76"/>
      <c r="MG1364" s="76"/>
      <c r="MH1364" s="76"/>
      <c r="MI1364" s="76"/>
      <c r="MJ1364" s="76"/>
      <c r="MK1364" s="76"/>
      <c r="ML1364" s="76"/>
      <c r="MM1364" s="76"/>
      <c r="MN1364" s="76"/>
      <c r="MO1364" s="76"/>
      <c r="MP1364" s="76"/>
      <c r="MQ1364" s="76"/>
      <c r="MR1364" s="76"/>
      <c r="MS1364" s="76"/>
      <c r="MT1364" s="76"/>
      <c r="MU1364" s="76"/>
      <c r="MV1364" s="76"/>
      <c r="MW1364" s="76"/>
      <c r="MX1364" s="76"/>
      <c r="MY1364" s="76"/>
      <c r="MZ1364" s="76"/>
      <c r="NA1364" s="76"/>
      <c r="NB1364" s="76"/>
      <c r="NC1364" s="76"/>
      <c r="ND1364" s="76"/>
      <c r="NE1364" s="76"/>
      <c r="NF1364" s="76"/>
      <c r="NG1364" s="76"/>
      <c r="NH1364" s="76"/>
      <c r="NI1364" s="76"/>
      <c r="NJ1364" s="76"/>
      <c r="NK1364" s="76"/>
      <c r="NL1364" s="76"/>
      <c r="NM1364" s="76"/>
      <c r="NN1364" s="76"/>
      <c r="NO1364" s="76"/>
      <c r="NP1364" s="76"/>
      <c r="NQ1364" s="76"/>
      <c r="NR1364" s="76"/>
      <c r="NS1364" s="76"/>
      <c r="NT1364" s="76"/>
      <c r="NU1364" s="76"/>
      <c r="NV1364" s="76"/>
      <c r="NW1364" s="76"/>
      <c r="NX1364" s="76"/>
      <c r="NY1364" s="76"/>
      <c r="NZ1364" s="76"/>
      <c r="OA1364" s="76"/>
      <c r="OB1364" s="76"/>
      <c r="OC1364" s="76"/>
      <c r="OD1364" s="76"/>
      <c r="OE1364" s="76"/>
      <c r="OF1364" s="76"/>
      <c r="OG1364" s="76"/>
      <c r="OH1364" s="76"/>
      <c r="OI1364" s="76"/>
      <c r="OJ1364" s="76"/>
      <c r="OK1364" s="76"/>
      <c r="OL1364" s="76"/>
      <c r="OM1364" s="76"/>
      <c r="ON1364" s="76"/>
      <c r="OO1364" s="76"/>
      <c r="OP1364" s="76"/>
      <c r="OQ1364" s="76"/>
      <c r="OR1364" s="76"/>
      <c r="OS1364" s="76"/>
      <c r="OT1364" s="76"/>
      <c r="OU1364" s="76"/>
      <c r="OV1364" s="76"/>
      <c r="OW1364" s="76"/>
      <c r="OX1364" s="76"/>
      <c r="OY1364" s="76"/>
      <c r="OZ1364" s="76"/>
      <c r="PA1364" s="76"/>
      <c r="PB1364" s="76"/>
      <c r="PC1364" s="76"/>
      <c r="PD1364" s="76"/>
      <c r="PE1364" s="76"/>
      <c r="PF1364" s="76"/>
      <c r="PG1364" s="76"/>
      <c r="PH1364" s="76"/>
      <c r="PI1364" s="76"/>
      <c r="PJ1364" s="76"/>
      <c r="PK1364" s="76"/>
      <c r="PL1364" s="76"/>
      <c r="PM1364" s="76"/>
      <c r="PN1364" s="76"/>
      <c r="PO1364" s="76"/>
      <c r="PP1364" s="76"/>
      <c r="PQ1364" s="76"/>
      <c r="PR1364" s="76"/>
      <c r="PS1364" s="76"/>
      <c r="PT1364" s="76"/>
      <c r="PU1364" s="76"/>
      <c r="PV1364" s="76"/>
      <c r="PW1364" s="76"/>
      <c r="PX1364" s="76"/>
      <c r="PY1364" s="76"/>
      <c r="PZ1364" s="76"/>
      <c r="QA1364" s="76"/>
      <c r="QB1364" s="76"/>
      <c r="QC1364" s="76"/>
      <c r="QD1364" s="76"/>
      <c r="QE1364" s="76"/>
      <c r="QF1364" s="76"/>
      <c r="QG1364" s="76"/>
      <c r="QH1364" s="76"/>
      <c r="QI1364" s="76"/>
      <c r="QJ1364" s="76"/>
      <c r="QK1364" s="76"/>
      <c r="QL1364" s="76"/>
      <c r="QM1364" s="76"/>
      <c r="QN1364" s="76"/>
      <c r="QO1364" s="76"/>
      <c r="QP1364" s="76"/>
      <c r="QQ1364" s="76"/>
      <c r="QR1364" s="76"/>
      <c r="QS1364" s="76"/>
      <c r="QT1364" s="76"/>
      <c r="QU1364" s="76"/>
      <c r="QV1364" s="76"/>
      <c r="QW1364" s="76"/>
      <c r="QX1364" s="76"/>
      <c r="QY1364" s="76"/>
      <c r="QZ1364" s="76"/>
      <c r="RA1364" s="76"/>
      <c r="RB1364" s="76"/>
      <c r="RC1364" s="76"/>
      <c r="RD1364" s="76"/>
      <c r="RE1364" s="76"/>
      <c r="RF1364" s="76"/>
      <c r="RG1364" s="76"/>
      <c r="RH1364" s="76"/>
      <c r="RI1364" s="76"/>
      <c r="RJ1364" s="76"/>
      <c r="RK1364" s="76"/>
      <c r="RL1364" s="76"/>
      <c r="RM1364" s="76"/>
      <c r="RN1364" s="76"/>
      <c r="RO1364" s="76"/>
      <c r="RP1364" s="76"/>
      <c r="RQ1364" s="76"/>
      <c r="RR1364" s="76"/>
      <c r="RS1364" s="76"/>
      <c r="RT1364" s="76"/>
      <c r="RU1364" s="76"/>
      <c r="RV1364" s="76"/>
      <c r="RW1364" s="76"/>
      <c r="RX1364" s="76"/>
      <c r="RY1364" s="76"/>
      <c r="RZ1364" s="76"/>
      <c r="SA1364" s="76"/>
      <c r="SB1364" s="76"/>
      <c r="SC1364" s="76"/>
      <c r="SD1364" s="76"/>
      <c r="SE1364" s="76"/>
      <c r="SF1364" s="76"/>
      <c r="SG1364" s="76"/>
      <c r="SH1364" s="76"/>
      <c r="SI1364" s="76"/>
      <c r="SJ1364" s="76"/>
      <c r="SK1364" s="76"/>
      <c r="SL1364" s="76"/>
      <c r="SM1364" s="76"/>
      <c r="SN1364" s="76"/>
      <c r="SO1364" s="76"/>
      <c r="SP1364" s="76"/>
      <c r="SQ1364" s="76"/>
      <c r="SR1364" s="76"/>
      <c r="SS1364" s="76"/>
      <c r="ST1364" s="76"/>
      <c r="SU1364" s="76"/>
      <c r="SV1364" s="76"/>
      <c r="SW1364" s="50"/>
      <c r="SX1364" s="76"/>
      <c r="SY1364" s="76"/>
      <c r="SZ1364" s="76"/>
      <c r="TA1364" s="76"/>
      <c r="TB1364" s="76"/>
      <c r="TC1364" s="76"/>
      <c r="TD1364" s="76"/>
      <c r="TE1364" s="76"/>
      <c r="TF1364" s="76"/>
      <c r="TG1364" s="76"/>
      <c r="TH1364" s="76"/>
      <c r="TI1364" s="76"/>
      <c r="TJ1364" s="76"/>
      <c r="TK1364" s="76"/>
      <c r="TL1364" s="76"/>
      <c r="TM1364" s="76"/>
      <c r="TN1364" s="76"/>
      <c r="TO1364" s="76"/>
      <c r="TP1364" s="76"/>
      <c r="TQ1364" s="76"/>
      <c r="TR1364" s="76"/>
      <c r="TS1364" s="76"/>
      <c r="TT1364" s="76"/>
      <c r="TU1364" s="76"/>
      <c r="TV1364" s="76"/>
      <c r="TW1364" s="76"/>
      <c r="TX1364" s="76"/>
      <c r="TY1364" s="76"/>
      <c r="TZ1364" s="76"/>
      <c r="UA1364" s="76"/>
      <c r="UB1364" s="76"/>
      <c r="UC1364" s="76"/>
      <c r="UD1364" s="76"/>
      <c r="UE1364" s="76"/>
      <c r="UF1364" s="76"/>
      <c r="UG1364" s="76"/>
      <c r="UH1364" s="76"/>
      <c r="UI1364" s="76"/>
      <c r="UJ1364" s="76"/>
      <c r="UK1364" s="76"/>
      <c r="UL1364" s="76"/>
      <c r="UM1364" s="76"/>
      <c r="UN1364" s="76"/>
      <c r="UO1364" s="76"/>
      <c r="UP1364" s="76"/>
      <c r="UQ1364" s="76"/>
      <c r="UR1364" s="76"/>
      <c r="US1364" s="76"/>
      <c r="UT1364" s="76"/>
      <c r="UU1364" s="76"/>
      <c r="UV1364" s="76"/>
      <c r="UW1364" s="76"/>
      <c r="UX1364" s="76"/>
      <c r="UY1364" s="76"/>
      <c r="UZ1364" s="76"/>
      <c r="VA1364" s="76"/>
      <c r="VB1364" s="76"/>
      <c r="VC1364" s="76"/>
      <c r="VD1364" s="76"/>
      <c r="VE1364" s="76"/>
      <c r="VF1364" s="76"/>
      <c r="VG1364" s="76"/>
      <c r="VH1364" s="76"/>
      <c r="VI1364" s="76"/>
      <c r="VJ1364" s="76"/>
      <c r="VK1364" s="76"/>
      <c r="VL1364" s="76"/>
      <c r="VM1364" s="76"/>
      <c r="VN1364" s="76"/>
      <c r="VO1364" s="76"/>
      <c r="VP1364" s="76"/>
      <c r="VQ1364" s="76"/>
      <c r="VR1364" s="76"/>
      <c r="VS1364" s="76"/>
      <c r="VT1364" s="76"/>
      <c r="VU1364" s="76"/>
      <c r="VV1364" s="76"/>
      <c r="VW1364" s="76"/>
      <c r="VX1364" s="76"/>
      <c r="VY1364" s="76"/>
      <c r="VZ1364" s="76"/>
      <c r="WA1364" s="76"/>
      <c r="WB1364" s="76"/>
      <c r="WC1364" s="76"/>
      <c r="WD1364" s="76"/>
      <c r="WE1364" s="76"/>
      <c r="WF1364" s="76"/>
      <c r="WG1364" s="76"/>
      <c r="WH1364" s="76"/>
      <c r="WI1364" s="76"/>
      <c r="WJ1364" s="76"/>
      <c r="WK1364" s="76"/>
      <c r="WL1364" s="76"/>
      <c r="WM1364" s="76"/>
      <c r="WN1364" s="76"/>
      <c r="WO1364" s="76"/>
      <c r="WP1364" s="76"/>
      <c r="WQ1364" s="76"/>
      <c r="WR1364" s="76"/>
      <c r="WS1364" s="76"/>
      <c r="WT1364" s="76"/>
      <c r="WU1364" s="76"/>
      <c r="WV1364" s="76"/>
      <c r="WW1364" s="76"/>
      <c r="WX1364" s="76"/>
      <c r="WY1364" s="76"/>
      <c r="WZ1364" s="76"/>
      <c r="XA1364" s="76"/>
      <c r="XB1364" s="76"/>
      <c r="XC1364" s="76"/>
      <c r="XD1364" s="76"/>
      <c r="XE1364" s="76"/>
      <c r="XF1364" s="76"/>
      <c r="XG1364" s="76"/>
      <c r="XH1364" s="76"/>
      <c r="XI1364" s="76"/>
      <c r="XJ1364" s="76"/>
      <c r="XK1364" s="76"/>
      <c r="XL1364" s="76"/>
      <c r="XM1364" s="76"/>
      <c r="XN1364" s="76"/>
      <c r="XO1364" s="76"/>
      <c r="XP1364" s="76"/>
      <c r="XQ1364" s="76"/>
      <c r="XR1364" s="76"/>
      <c r="XS1364" s="76"/>
      <c r="XT1364" s="76"/>
      <c r="XU1364" s="76"/>
      <c r="XV1364" s="76"/>
      <c r="XW1364" s="76"/>
      <c r="XX1364" s="76"/>
      <c r="XY1364" s="76"/>
      <c r="XZ1364" s="76"/>
      <c r="YA1364" s="76"/>
      <c r="YB1364" s="76"/>
      <c r="YC1364" s="76"/>
      <c r="YD1364" s="76"/>
      <c r="YE1364" s="76"/>
      <c r="YF1364" s="76"/>
      <c r="YG1364" s="76"/>
      <c r="YH1364" s="76"/>
      <c r="YI1364" s="76"/>
      <c r="YJ1364" s="76"/>
      <c r="YK1364" s="76"/>
      <c r="YL1364" s="76"/>
      <c r="YM1364" s="76"/>
      <c r="YN1364" s="76"/>
      <c r="YO1364" s="76"/>
      <c r="YP1364" s="76"/>
      <c r="YQ1364" s="76"/>
      <c r="YR1364" s="76"/>
      <c r="YS1364" s="76"/>
      <c r="YT1364" s="76"/>
      <c r="YU1364" s="76"/>
      <c r="YV1364" s="76"/>
      <c r="YW1364" s="76"/>
      <c r="YX1364" s="76"/>
      <c r="YY1364" s="76"/>
      <c r="YZ1364" s="76"/>
      <c r="ZA1364" s="76"/>
      <c r="ZB1364" s="76"/>
      <c r="ZC1364" s="76"/>
      <c r="ZD1364" s="76"/>
      <c r="ZE1364" s="76"/>
      <c r="ZF1364" s="76"/>
      <c r="ZG1364" s="76"/>
      <c r="ZH1364" s="76"/>
      <c r="ZI1364" s="76"/>
      <c r="ZJ1364" s="76"/>
      <c r="ZK1364" s="76"/>
      <c r="ZL1364" s="76"/>
      <c r="ZM1364" s="76"/>
      <c r="ZN1364" s="76"/>
      <c r="ZO1364" s="76"/>
      <c r="ZP1364" s="76"/>
      <c r="ZQ1364" s="76"/>
      <c r="ZR1364" s="76"/>
      <c r="ZS1364" s="76"/>
      <c r="ZT1364" s="76"/>
      <c r="ZU1364" s="76"/>
      <c r="ZV1364" s="76"/>
      <c r="ZW1364" s="76"/>
      <c r="ZX1364" s="76"/>
      <c r="ZY1364" s="76"/>
      <c r="ZZ1364" s="76"/>
      <c r="AAA1364" s="76"/>
      <c r="AAB1364" s="76"/>
      <c r="AAC1364" s="76"/>
      <c r="AAD1364" s="76"/>
      <c r="AAE1364" s="76"/>
      <c r="AAF1364" s="76"/>
      <c r="AAG1364" s="76"/>
      <c r="AAH1364" s="76"/>
      <c r="AAI1364" s="76"/>
      <c r="AAJ1364" s="76"/>
      <c r="AAK1364" s="76"/>
      <c r="AAL1364" s="76"/>
      <c r="AAM1364" s="76"/>
      <c r="AAN1364" s="76"/>
      <c r="AAO1364" s="76"/>
      <c r="AAP1364" s="76"/>
      <c r="AAQ1364" s="76"/>
      <c r="AAR1364" s="76"/>
      <c r="AAS1364" s="76"/>
      <c r="AAT1364" s="76"/>
      <c r="AAU1364" s="76"/>
      <c r="AAV1364" s="76"/>
      <c r="AAW1364" s="76"/>
      <c r="AAX1364" s="76"/>
      <c r="AAY1364" s="76"/>
      <c r="AAZ1364" s="76"/>
      <c r="ABA1364" s="76"/>
      <c r="ABB1364" s="76"/>
      <c r="ABC1364" s="76"/>
      <c r="ABD1364" s="76"/>
      <c r="ABE1364" s="76"/>
      <c r="ABF1364" s="76"/>
      <c r="ABG1364" s="76"/>
      <c r="ABH1364" s="76"/>
      <c r="ABI1364" s="76"/>
      <c r="ABJ1364" s="76"/>
      <c r="ABK1364" s="76"/>
      <c r="ABL1364" s="76"/>
      <c r="ABM1364" s="76"/>
      <c r="ABN1364" s="76"/>
      <c r="ABO1364" s="76"/>
      <c r="ABP1364" s="76"/>
      <c r="ABQ1364" s="76"/>
      <c r="ABR1364" s="76"/>
      <c r="ABS1364" s="76"/>
      <c r="ABT1364" s="76"/>
      <c r="ABU1364" s="76"/>
      <c r="ABV1364" s="76"/>
      <c r="ABW1364" s="76"/>
      <c r="ABX1364" s="76"/>
      <c r="ABY1364" s="76"/>
      <c r="ABZ1364" s="76"/>
      <c r="ACA1364" s="76"/>
      <c r="ACB1364" s="76"/>
      <c r="ACC1364" s="76"/>
      <c r="ACD1364" s="76"/>
      <c r="ACE1364" s="76"/>
      <c r="ACF1364" s="76"/>
      <c r="ACG1364" s="76"/>
      <c r="ACH1364" s="76"/>
      <c r="ACI1364" s="76"/>
      <c r="ACJ1364" s="76"/>
      <c r="ACK1364" s="76"/>
      <c r="ACL1364" s="76"/>
      <c r="ACM1364" s="76"/>
      <c r="ACN1364" s="76"/>
      <c r="ACO1364" s="76"/>
      <c r="ACP1364" s="76"/>
      <c r="ACQ1364" s="76"/>
      <c r="ACR1364" s="76"/>
      <c r="ACS1364" s="50"/>
      <c r="ACT1364" s="76"/>
      <c r="ACU1364" s="76"/>
      <c r="ACV1364" s="76"/>
      <c r="ACW1364" s="76"/>
      <c r="ACX1364" s="76"/>
      <c r="ACY1364" s="76"/>
      <c r="ACZ1364" s="76"/>
      <c r="ADA1364" s="76"/>
      <c r="ADB1364" s="76"/>
      <c r="ADC1364" s="76"/>
      <c r="ADD1364" s="76"/>
      <c r="ADE1364" s="76"/>
      <c r="ADF1364" s="76"/>
      <c r="ADG1364" s="76"/>
      <c r="ADH1364" s="76"/>
      <c r="ADI1364" s="76"/>
      <c r="ADJ1364" s="76"/>
      <c r="ADK1364" s="76"/>
      <c r="ADL1364" s="76"/>
      <c r="ADM1364" s="76"/>
      <c r="ADN1364" s="76"/>
      <c r="ADO1364" s="76"/>
      <c r="ADP1364" s="76"/>
      <c r="ADQ1364" s="76"/>
      <c r="ADR1364" s="76"/>
      <c r="ADS1364" s="76"/>
      <c r="ADT1364" s="76"/>
      <c r="ADU1364" s="76"/>
      <c r="ADV1364" s="76"/>
      <c r="ADW1364" s="76"/>
      <c r="ADX1364" s="76"/>
      <c r="ADY1364" s="76"/>
      <c r="ADZ1364" s="76"/>
      <c r="AEA1364" s="76"/>
      <c r="AEB1364" s="76"/>
      <c r="AEC1364" s="76"/>
      <c r="AED1364" s="76"/>
      <c r="AEE1364" s="76"/>
      <c r="AEF1364" s="76"/>
      <c r="AEG1364" s="76"/>
      <c r="AEH1364" s="76"/>
      <c r="AEI1364" s="76"/>
      <c r="AEJ1364" s="76"/>
      <c r="AEK1364" s="76"/>
      <c r="AEL1364" s="76"/>
      <c r="AEM1364" s="76"/>
      <c r="AEN1364" s="76"/>
      <c r="AEO1364" s="76"/>
      <c r="AEP1364" s="76"/>
      <c r="AEQ1364" s="76"/>
      <c r="AER1364" s="76"/>
      <c r="AES1364" s="76"/>
      <c r="AET1364" s="76"/>
      <c r="AEU1364" s="76"/>
      <c r="AEV1364" s="76"/>
      <c r="AEW1364" s="76"/>
      <c r="AEX1364" s="76"/>
      <c r="AEY1364" s="76"/>
      <c r="AEZ1364" s="76"/>
      <c r="AFA1364" s="76"/>
      <c r="AFB1364" s="76"/>
      <c r="AFC1364" s="76"/>
      <c r="AFD1364" s="76"/>
      <c r="AFE1364" s="76"/>
      <c r="AFF1364" s="76"/>
      <c r="AFG1364" s="76"/>
      <c r="AFH1364" s="76"/>
      <c r="AFI1364" s="76"/>
      <c r="AFJ1364" s="76"/>
      <c r="AFK1364" s="76"/>
      <c r="AFL1364" s="76"/>
      <c r="AFM1364" s="76"/>
      <c r="AFN1364" s="76"/>
      <c r="AFO1364" s="76"/>
      <c r="AFP1364" s="76"/>
      <c r="AFQ1364" s="76"/>
      <c r="AFR1364" s="76"/>
      <c r="AFS1364" s="76"/>
      <c r="AFT1364" s="76"/>
      <c r="AFU1364" s="76"/>
      <c r="AFV1364" s="76"/>
      <c r="AFW1364" s="76"/>
      <c r="AFX1364" s="76"/>
      <c r="AFY1364" s="76"/>
      <c r="AFZ1364" s="76"/>
      <c r="AGA1364" s="76"/>
      <c r="AGB1364" s="76"/>
      <c r="AGC1364" s="76"/>
      <c r="AGD1364" s="76"/>
      <c r="AGE1364" s="76"/>
      <c r="AGF1364" s="76"/>
      <c r="AGG1364" s="76"/>
      <c r="AGH1364" s="76"/>
      <c r="AGI1364" s="76"/>
      <c r="AGJ1364" s="76"/>
      <c r="AGK1364" s="76"/>
      <c r="AGL1364" s="76"/>
      <c r="AGM1364" s="76"/>
      <c r="AGN1364" s="76"/>
      <c r="AGO1364" s="76"/>
      <c r="AGP1364" s="76"/>
      <c r="AGQ1364" s="76"/>
      <c r="AGR1364" s="76"/>
      <c r="AGS1364" s="76"/>
      <c r="AGT1364" s="76"/>
      <c r="AGU1364" s="76"/>
      <c r="AGV1364" s="76"/>
      <c r="AGW1364" s="76"/>
      <c r="AGX1364" s="76"/>
      <c r="AGY1364" s="76"/>
      <c r="AGZ1364" s="76"/>
      <c r="AHA1364" s="76"/>
      <c r="AHB1364" s="76"/>
      <c r="AHC1364" s="76"/>
      <c r="AHD1364" s="76"/>
      <c r="AHE1364" s="76"/>
      <c r="AHF1364" s="76"/>
      <c r="AHG1364" s="76"/>
      <c r="AHH1364" s="76"/>
      <c r="AHI1364" s="76"/>
      <c r="AHJ1364" s="76"/>
      <c r="AHK1364" s="76"/>
      <c r="AHL1364" s="76"/>
      <c r="AHM1364" s="76"/>
      <c r="AHN1364" s="76"/>
      <c r="AHO1364" s="76"/>
      <c r="AHP1364" s="76"/>
      <c r="AHQ1364" s="76"/>
      <c r="AHR1364" s="76"/>
      <c r="AHS1364" s="76"/>
      <c r="AHT1364" s="76"/>
      <c r="AHU1364" s="76"/>
      <c r="AHV1364" s="76"/>
      <c r="AHW1364" s="76"/>
      <c r="AHX1364" s="76"/>
      <c r="AHY1364" s="76"/>
      <c r="AHZ1364" s="76"/>
      <c r="AIA1364" s="76"/>
      <c r="AIB1364" s="76"/>
      <c r="AIC1364" s="76"/>
      <c r="AID1364" s="76"/>
      <c r="AIE1364" s="76"/>
      <c r="AIF1364" s="76"/>
      <c r="AIG1364" s="76"/>
      <c r="AIH1364" s="76"/>
      <c r="AII1364" s="76"/>
      <c r="AIJ1364" s="76"/>
      <c r="AIK1364" s="76"/>
      <c r="AIL1364" s="76"/>
      <c r="AIM1364" s="76"/>
      <c r="AIN1364" s="76"/>
      <c r="AIO1364" s="76"/>
      <c r="AIP1364" s="76"/>
      <c r="AIQ1364" s="76"/>
      <c r="AIR1364" s="76"/>
      <c r="AIS1364" s="76"/>
      <c r="AIT1364" s="76"/>
      <c r="AIU1364" s="76"/>
      <c r="AIV1364" s="76"/>
      <c r="AIW1364" s="76"/>
      <c r="AIX1364" s="76"/>
      <c r="AIY1364" s="76"/>
      <c r="AIZ1364" s="76"/>
      <c r="AJA1364" s="76"/>
      <c r="AJB1364" s="76"/>
      <c r="AJC1364" s="76"/>
      <c r="AJD1364" s="76"/>
      <c r="AJE1364" s="76"/>
      <c r="AJF1364" s="76"/>
      <c r="AJG1364" s="76"/>
      <c r="AJH1364" s="76"/>
      <c r="AJI1364" s="76"/>
      <c r="AJJ1364" s="76"/>
      <c r="AJK1364" s="76"/>
      <c r="AJL1364" s="76"/>
      <c r="AJM1364" s="76"/>
      <c r="AJN1364" s="76"/>
      <c r="AJO1364" s="76"/>
      <c r="AJP1364" s="76"/>
      <c r="AJQ1364" s="76"/>
      <c r="AJR1364" s="76"/>
      <c r="AJS1364" s="76"/>
      <c r="AJT1364" s="76"/>
      <c r="AJU1364" s="76"/>
      <c r="AJV1364" s="76"/>
      <c r="AJW1364" s="76"/>
      <c r="AJX1364" s="76"/>
      <c r="AJY1364" s="76"/>
      <c r="AJZ1364" s="76"/>
      <c r="AKA1364" s="76"/>
      <c r="AKB1364" s="76"/>
      <c r="AKC1364" s="76"/>
      <c r="AKD1364" s="76"/>
      <c r="AKE1364" s="76"/>
      <c r="AKF1364" s="76"/>
      <c r="AKG1364" s="76"/>
      <c r="AKH1364" s="76"/>
      <c r="AKI1364" s="76"/>
      <c r="AKJ1364" s="76"/>
      <c r="AKK1364" s="76"/>
      <c r="AKL1364" s="76"/>
      <c r="AKM1364" s="76"/>
      <c r="AKN1364" s="76"/>
      <c r="AKO1364" s="76"/>
      <c r="AKP1364" s="76"/>
      <c r="AKQ1364" s="76"/>
      <c r="AKR1364" s="76"/>
      <c r="AKS1364" s="76"/>
      <c r="AKT1364" s="76"/>
      <c r="AKU1364" s="76"/>
      <c r="AKV1364" s="76"/>
      <c r="AKW1364" s="76"/>
      <c r="AKX1364" s="76"/>
      <c r="AKY1364" s="76"/>
      <c r="AKZ1364" s="76"/>
      <c r="ALA1364" s="76"/>
      <c r="ALB1364" s="76"/>
      <c r="ALC1364" s="76"/>
      <c r="ALD1364" s="76"/>
      <c r="ALE1364" s="76"/>
      <c r="ALF1364" s="76"/>
      <c r="ALG1364" s="76"/>
      <c r="ALH1364" s="76"/>
      <c r="ALI1364" s="76"/>
      <c r="ALJ1364" s="76"/>
      <c r="ALK1364" s="76"/>
      <c r="ALL1364" s="76"/>
      <c r="ALM1364" s="76"/>
      <c r="ALN1364" s="76"/>
      <c r="ALO1364" s="76"/>
      <c r="ALP1364" s="76"/>
      <c r="ALQ1364" s="76"/>
      <c r="ALR1364" s="76"/>
      <c r="ALS1364" s="76"/>
      <c r="ALT1364" s="76"/>
      <c r="ALU1364" s="76"/>
      <c r="ALV1364" s="76"/>
      <c r="ALW1364" s="76"/>
      <c r="ALX1364" s="76"/>
      <c r="ALY1364" s="76"/>
      <c r="ALZ1364" s="76"/>
      <c r="AMA1364" s="76"/>
      <c r="AMB1364" s="76"/>
      <c r="AMC1364" s="76"/>
      <c r="AMD1364" s="76"/>
      <c r="AME1364" s="76"/>
      <c r="AMF1364" s="76"/>
      <c r="AMG1364" s="76"/>
      <c r="AMH1364" s="76"/>
      <c r="AMI1364" s="76"/>
      <c r="AMJ1364" s="76"/>
      <c r="AMK1364" s="76"/>
      <c r="AML1364" s="76"/>
      <c r="AMM1364" s="76"/>
      <c r="AMN1364" s="76"/>
      <c r="AMO1364" s="50"/>
      <c r="AMP1364" s="76"/>
      <c r="AMQ1364" s="76"/>
      <c r="AMR1364" s="76"/>
      <c r="AMS1364" s="76"/>
      <c r="AMT1364" s="76"/>
      <c r="AMU1364" s="76"/>
      <c r="AMV1364" s="76"/>
      <c r="AMW1364" s="76"/>
      <c r="AMX1364" s="76"/>
      <c r="AMY1364" s="76"/>
      <c r="AMZ1364" s="76"/>
      <c r="ANA1364" s="76"/>
      <c r="ANB1364" s="76"/>
      <c r="ANC1364" s="76"/>
      <c r="AND1364" s="76"/>
      <c r="ANE1364" s="76"/>
      <c r="ANF1364" s="76"/>
      <c r="ANG1364" s="76"/>
      <c r="ANH1364" s="76"/>
      <c r="ANI1364" s="76"/>
      <c r="ANJ1364" s="76"/>
      <c r="ANK1364" s="76"/>
      <c r="ANL1364" s="76"/>
      <c r="ANM1364" s="76"/>
      <c r="ANN1364" s="76"/>
      <c r="ANO1364" s="76"/>
      <c r="ANP1364" s="76"/>
      <c r="ANQ1364" s="76"/>
      <c r="ANR1364" s="76"/>
      <c r="ANS1364" s="76"/>
      <c r="ANT1364" s="76"/>
      <c r="ANU1364" s="76"/>
      <c r="ANV1364" s="76"/>
      <c r="ANW1364" s="76"/>
      <c r="ANX1364" s="76"/>
      <c r="ANY1364" s="76"/>
      <c r="ANZ1364" s="76"/>
      <c r="AOA1364" s="76"/>
      <c r="AOB1364" s="76"/>
      <c r="AOC1364" s="76"/>
      <c r="AOD1364" s="76"/>
      <c r="AOE1364" s="76"/>
      <c r="AOF1364" s="76"/>
      <c r="AOG1364" s="76"/>
      <c r="AOH1364" s="76"/>
      <c r="AOI1364" s="76"/>
      <c r="AOJ1364" s="76"/>
      <c r="AOK1364" s="76"/>
      <c r="AOL1364" s="76"/>
      <c r="AOM1364" s="76"/>
      <c r="AON1364" s="76"/>
      <c r="AOO1364" s="76"/>
      <c r="AOP1364" s="76"/>
      <c r="AOQ1364" s="76"/>
      <c r="AOR1364" s="76"/>
      <c r="AOS1364" s="76"/>
      <c r="AOT1364" s="76"/>
      <c r="AOU1364" s="76"/>
      <c r="AOV1364" s="76"/>
      <c r="AOW1364" s="76"/>
      <c r="AOX1364" s="76"/>
      <c r="AOY1364" s="76"/>
      <c r="AOZ1364" s="76"/>
      <c r="APA1364" s="76"/>
      <c r="APB1364" s="76"/>
      <c r="APC1364" s="76"/>
      <c r="APD1364" s="76"/>
      <c r="APE1364" s="76"/>
      <c r="APF1364" s="76"/>
      <c r="APG1364" s="76"/>
      <c r="APH1364" s="76"/>
      <c r="API1364" s="76"/>
      <c r="APJ1364" s="76"/>
      <c r="APK1364" s="76"/>
      <c r="APL1364" s="76"/>
      <c r="APM1364" s="76"/>
      <c r="APN1364" s="76"/>
      <c r="APO1364" s="76"/>
      <c r="APP1364" s="76"/>
      <c r="APQ1364" s="76"/>
      <c r="APR1364" s="76"/>
      <c r="APS1364" s="76"/>
      <c r="APT1364" s="76"/>
      <c r="APU1364" s="76"/>
      <c r="APV1364" s="76"/>
      <c r="APW1364" s="76"/>
      <c r="APX1364" s="76"/>
      <c r="APY1364" s="76"/>
      <c r="APZ1364" s="76"/>
      <c r="AQA1364" s="76"/>
      <c r="AQB1364" s="76"/>
      <c r="AQC1364" s="76"/>
      <c r="AQD1364" s="76"/>
      <c r="AQE1364" s="76"/>
      <c r="AQF1364" s="76"/>
      <c r="AQG1364" s="76"/>
      <c r="AQH1364" s="76"/>
      <c r="AQI1364" s="76"/>
      <c r="AQJ1364" s="76"/>
      <c r="AQK1364" s="76"/>
      <c r="AQL1364" s="76"/>
      <c r="AQM1364" s="76"/>
      <c r="AQN1364" s="76"/>
      <c r="AQO1364" s="76"/>
      <c r="AQP1364" s="76"/>
      <c r="AQQ1364" s="76"/>
      <c r="AQR1364" s="76"/>
      <c r="AQS1364" s="76"/>
      <c r="AQT1364" s="76"/>
      <c r="AQU1364" s="76"/>
      <c r="AQV1364" s="76"/>
      <c r="AQW1364" s="76"/>
      <c r="AQX1364" s="76"/>
      <c r="AQY1364" s="76"/>
      <c r="AQZ1364" s="76"/>
      <c r="ARA1364" s="76"/>
      <c r="ARB1364" s="76"/>
      <c r="ARC1364" s="76"/>
      <c r="ARD1364" s="76"/>
      <c r="ARE1364" s="76"/>
      <c r="ARF1364" s="76"/>
      <c r="ARG1364" s="76"/>
      <c r="ARH1364" s="76"/>
      <c r="ARI1364" s="76"/>
      <c r="ARJ1364" s="76"/>
      <c r="ARK1364" s="76"/>
      <c r="ARL1364" s="76"/>
      <c r="ARM1364" s="76"/>
      <c r="ARN1364" s="76"/>
      <c r="ARO1364" s="76"/>
      <c r="ARP1364" s="76"/>
      <c r="ARQ1364" s="76"/>
      <c r="ARR1364" s="76"/>
      <c r="ARS1364" s="76"/>
      <c r="ART1364" s="76"/>
      <c r="ARU1364" s="76"/>
      <c r="ARV1364" s="76"/>
      <c r="ARW1364" s="76"/>
      <c r="ARX1364" s="76"/>
      <c r="ARY1364" s="76"/>
      <c r="ARZ1364" s="76"/>
      <c r="ASA1364" s="76"/>
      <c r="ASB1364" s="76"/>
      <c r="ASC1364" s="76"/>
      <c r="ASD1364" s="76"/>
      <c r="ASE1364" s="76"/>
      <c r="ASF1364" s="76"/>
      <c r="ASG1364" s="76"/>
      <c r="ASH1364" s="76"/>
      <c r="ASI1364" s="76"/>
      <c r="ASJ1364" s="76"/>
      <c r="ASK1364" s="76"/>
      <c r="ASL1364" s="76"/>
      <c r="ASM1364" s="76"/>
      <c r="ASN1364" s="76"/>
      <c r="ASO1364" s="76"/>
      <c r="ASP1364" s="76"/>
      <c r="ASQ1364" s="76"/>
      <c r="ASR1364" s="76"/>
      <c r="ASS1364" s="76"/>
      <c r="AST1364" s="76"/>
      <c r="ASU1364" s="76"/>
      <c r="ASV1364" s="76"/>
      <c r="ASW1364" s="76"/>
      <c r="ASX1364" s="76"/>
      <c r="ASY1364" s="76"/>
      <c r="ASZ1364" s="76"/>
      <c r="ATA1364" s="76"/>
      <c r="ATB1364" s="76"/>
      <c r="ATC1364" s="76"/>
      <c r="ATD1364" s="76"/>
      <c r="ATE1364" s="76"/>
      <c r="ATF1364" s="76"/>
      <c r="ATG1364" s="76"/>
      <c r="ATH1364" s="76"/>
      <c r="ATI1364" s="76"/>
      <c r="ATJ1364" s="76"/>
      <c r="ATK1364" s="76"/>
      <c r="ATL1364" s="76"/>
      <c r="ATM1364" s="76"/>
      <c r="ATN1364" s="76"/>
      <c r="ATO1364" s="76"/>
      <c r="ATP1364" s="76"/>
      <c r="ATQ1364" s="76"/>
      <c r="ATR1364" s="76"/>
      <c r="ATS1364" s="76"/>
      <c r="ATT1364" s="76"/>
      <c r="ATU1364" s="76"/>
      <c r="ATV1364" s="76"/>
      <c r="ATW1364" s="76"/>
      <c r="ATX1364" s="76"/>
      <c r="ATY1364" s="76"/>
      <c r="ATZ1364" s="76"/>
      <c r="AUA1364" s="76"/>
      <c r="AUB1364" s="76"/>
      <c r="AUC1364" s="76"/>
      <c r="AUD1364" s="76"/>
      <c r="AUE1364" s="76"/>
      <c r="AUF1364" s="76"/>
      <c r="AUG1364" s="76"/>
      <c r="AUH1364" s="76"/>
      <c r="AUI1364" s="76"/>
      <c r="AUJ1364" s="76"/>
      <c r="AUK1364" s="76"/>
      <c r="AUL1364" s="76"/>
      <c r="AUM1364" s="76"/>
      <c r="AUN1364" s="76"/>
      <c r="AUO1364" s="76"/>
      <c r="AUP1364" s="76"/>
      <c r="AUQ1364" s="76"/>
      <c r="AUR1364" s="76"/>
      <c r="AUS1364" s="76"/>
      <c r="AUT1364" s="76"/>
      <c r="AUU1364" s="76"/>
      <c r="AUV1364" s="76"/>
      <c r="AUW1364" s="76"/>
      <c r="AUX1364" s="76"/>
      <c r="AUY1364" s="76"/>
      <c r="AUZ1364" s="76"/>
      <c r="AVA1364" s="76"/>
      <c r="AVB1364" s="76"/>
      <c r="AVC1364" s="76"/>
      <c r="AVD1364" s="76"/>
      <c r="AVE1364" s="76"/>
      <c r="AVF1364" s="76"/>
      <c r="AVG1364" s="76"/>
      <c r="AVH1364" s="76"/>
      <c r="AVI1364" s="76"/>
      <c r="AVJ1364" s="76"/>
      <c r="AVK1364" s="76"/>
      <c r="AVL1364" s="76"/>
      <c r="AVM1364" s="76"/>
      <c r="AVN1364" s="76"/>
      <c r="AVO1364" s="76"/>
      <c r="AVP1364" s="76"/>
      <c r="AVQ1364" s="76"/>
      <c r="AVR1364" s="76"/>
      <c r="AVS1364" s="76"/>
      <c r="AVT1364" s="76"/>
      <c r="AVU1364" s="76"/>
      <c r="AVV1364" s="76"/>
      <c r="AVW1364" s="76"/>
      <c r="AVX1364" s="76"/>
      <c r="AVY1364" s="76"/>
      <c r="AVZ1364" s="76"/>
      <c r="AWA1364" s="76"/>
      <c r="AWB1364" s="76"/>
      <c r="AWC1364" s="76"/>
      <c r="AWD1364" s="76"/>
      <c r="AWE1364" s="76"/>
      <c r="AWF1364" s="76"/>
      <c r="AWG1364" s="76"/>
      <c r="AWH1364" s="76"/>
      <c r="AWI1364" s="76"/>
      <c r="AWJ1364" s="76"/>
      <c r="AWK1364" s="50"/>
      <c r="AWL1364" s="76"/>
      <c r="AWM1364" s="76"/>
      <c r="AWN1364" s="76"/>
      <c r="AWO1364" s="76"/>
      <c r="AWP1364" s="76"/>
      <c r="AWQ1364" s="76"/>
      <c r="AWR1364" s="76"/>
      <c r="AWS1364" s="76"/>
      <c r="AWT1364" s="76"/>
      <c r="AWU1364" s="76"/>
      <c r="AWV1364" s="76"/>
      <c r="AWW1364" s="76"/>
      <c r="AWX1364" s="76"/>
      <c r="AWY1364" s="76"/>
      <c r="AWZ1364" s="76"/>
      <c r="AXA1364" s="76"/>
      <c r="AXB1364" s="76"/>
      <c r="AXC1364" s="76"/>
      <c r="AXD1364" s="76"/>
      <c r="AXE1364" s="76"/>
      <c r="AXF1364" s="76"/>
      <c r="AXG1364" s="76"/>
      <c r="AXH1364" s="76"/>
      <c r="AXI1364" s="76"/>
      <c r="AXJ1364" s="76"/>
      <c r="AXK1364" s="76"/>
      <c r="AXL1364" s="76"/>
      <c r="AXM1364" s="76"/>
      <c r="AXN1364" s="76"/>
      <c r="AXO1364" s="76"/>
      <c r="AXP1364" s="76"/>
      <c r="AXQ1364" s="76"/>
      <c r="AXR1364" s="76"/>
      <c r="AXS1364" s="76"/>
      <c r="AXT1364" s="76"/>
      <c r="AXU1364" s="76"/>
      <c r="AXV1364" s="76"/>
      <c r="AXW1364" s="76"/>
      <c r="AXX1364" s="76"/>
      <c r="AXY1364" s="76"/>
      <c r="AXZ1364" s="76"/>
      <c r="AYA1364" s="76"/>
      <c r="AYB1364" s="76"/>
      <c r="AYC1364" s="76"/>
      <c r="AYD1364" s="76"/>
      <c r="AYE1364" s="76"/>
      <c r="AYF1364" s="76"/>
      <c r="AYG1364" s="76"/>
      <c r="AYH1364" s="76"/>
      <c r="AYI1364" s="76"/>
      <c r="AYJ1364" s="76"/>
      <c r="AYK1364" s="76"/>
      <c r="AYL1364" s="76"/>
      <c r="AYM1364" s="76"/>
      <c r="AYN1364" s="76"/>
      <c r="AYO1364" s="76"/>
      <c r="AYP1364" s="76"/>
      <c r="AYQ1364" s="76"/>
      <c r="AYR1364" s="76"/>
      <c r="AYS1364" s="76"/>
      <c r="AYT1364" s="76"/>
      <c r="AYU1364" s="76"/>
      <c r="AYV1364" s="76"/>
      <c r="AYW1364" s="76"/>
      <c r="AYX1364" s="76"/>
      <c r="AYY1364" s="76"/>
      <c r="AYZ1364" s="76"/>
      <c r="AZA1364" s="76"/>
      <c r="AZB1364" s="76"/>
      <c r="AZC1364" s="76"/>
      <c r="AZD1364" s="76"/>
      <c r="AZE1364" s="76"/>
      <c r="AZF1364" s="76"/>
      <c r="AZG1364" s="76"/>
      <c r="AZH1364" s="76"/>
      <c r="AZI1364" s="76"/>
      <c r="AZJ1364" s="76"/>
      <c r="AZK1364" s="76"/>
      <c r="AZL1364" s="76"/>
      <c r="AZM1364" s="76"/>
      <c r="AZN1364" s="76"/>
      <c r="AZO1364" s="76"/>
      <c r="AZP1364" s="76"/>
      <c r="AZQ1364" s="76"/>
      <c r="AZR1364" s="76"/>
      <c r="AZS1364" s="76"/>
      <c r="AZT1364" s="76"/>
      <c r="AZU1364" s="76"/>
      <c r="AZV1364" s="76"/>
      <c r="AZW1364" s="76"/>
      <c r="AZX1364" s="76"/>
      <c r="AZY1364" s="76"/>
      <c r="AZZ1364" s="76"/>
      <c r="BAA1364" s="76"/>
      <c r="BAB1364" s="76"/>
      <c r="BAC1364" s="76"/>
      <c r="BAD1364" s="76"/>
      <c r="BAE1364" s="76"/>
      <c r="BAF1364" s="76"/>
      <c r="BAG1364" s="76"/>
      <c r="BAH1364" s="76"/>
      <c r="BAI1364" s="76"/>
      <c r="BAJ1364" s="76"/>
      <c r="BAK1364" s="76"/>
      <c r="BAL1364" s="76"/>
      <c r="BAM1364" s="76"/>
      <c r="BAN1364" s="76"/>
      <c r="BAO1364" s="76"/>
      <c r="BAP1364" s="76"/>
      <c r="BAQ1364" s="76"/>
      <c r="BAR1364" s="76"/>
      <c r="BAS1364" s="76"/>
      <c r="BAT1364" s="76"/>
      <c r="BAU1364" s="76"/>
      <c r="BAV1364" s="76"/>
      <c r="BAW1364" s="76"/>
      <c r="BAX1364" s="76"/>
      <c r="BAY1364" s="76"/>
      <c r="BAZ1364" s="76"/>
      <c r="BBA1364" s="76"/>
      <c r="BBB1364" s="76"/>
      <c r="BBC1364" s="76"/>
      <c r="BBD1364" s="76"/>
      <c r="BBE1364" s="76"/>
      <c r="BBF1364" s="76"/>
      <c r="BBG1364" s="76"/>
      <c r="BBH1364" s="76"/>
      <c r="BBI1364" s="76"/>
      <c r="BBJ1364" s="76"/>
      <c r="BBK1364" s="76"/>
      <c r="BBL1364" s="76"/>
      <c r="BBM1364" s="76"/>
      <c r="BBN1364" s="76"/>
      <c r="BBO1364" s="76"/>
      <c r="BBP1364" s="76"/>
      <c r="BBQ1364" s="76"/>
      <c r="BBR1364" s="76"/>
      <c r="BBS1364" s="76"/>
      <c r="BBT1364" s="76"/>
      <c r="BBU1364" s="76"/>
      <c r="BBV1364" s="76"/>
      <c r="BBW1364" s="76"/>
      <c r="BBX1364" s="76"/>
      <c r="BBY1364" s="76"/>
      <c r="BBZ1364" s="76"/>
      <c r="BCA1364" s="76"/>
      <c r="BCB1364" s="76"/>
      <c r="BCC1364" s="76"/>
      <c r="BCD1364" s="76"/>
      <c r="BCE1364" s="76"/>
      <c r="BCF1364" s="76"/>
      <c r="BCG1364" s="76"/>
      <c r="BCH1364" s="76"/>
      <c r="BCI1364" s="76"/>
      <c r="BCJ1364" s="76"/>
      <c r="BCK1364" s="76"/>
      <c r="BCL1364" s="76"/>
      <c r="BCM1364" s="76"/>
      <c r="BCN1364" s="76"/>
      <c r="BCO1364" s="76"/>
      <c r="BCP1364" s="76"/>
      <c r="BCQ1364" s="76"/>
      <c r="BCR1364" s="76"/>
      <c r="BCS1364" s="76"/>
      <c r="BCT1364" s="76"/>
      <c r="BCU1364" s="76"/>
      <c r="BCV1364" s="76"/>
      <c r="BCW1364" s="76"/>
      <c r="BCX1364" s="76"/>
      <c r="BCY1364" s="76"/>
      <c r="BCZ1364" s="76"/>
      <c r="BDA1364" s="76"/>
      <c r="BDB1364" s="76"/>
      <c r="BDC1364" s="76"/>
      <c r="BDD1364" s="76"/>
      <c r="BDE1364" s="76"/>
      <c r="BDF1364" s="76"/>
      <c r="BDG1364" s="76"/>
      <c r="BDH1364" s="76"/>
      <c r="BDI1364" s="76"/>
      <c r="BDJ1364" s="76"/>
      <c r="BDK1364" s="76"/>
      <c r="BDL1364" s="76"/>
      <c r="BDM1364" s="76"/>
      <c r="BDN1364" s="76"/>
      <c r="BDO1364" s="76"/>
      <c r="BDP1364" s="76"/>
      <c r="BDQ1364" s="76"/>
      <c r="BDR1364" s="76"/>
      <c r="BDS1364" s="76"/>
      <c r="BDT1364" s="76"/>
      <c r="BDU1364" s="76"/>
      <c r="BDV1364" s="76"/>
      <c r="BDW1364" s="76"/>
      <c r="BDX1364" s="76"/>
      <c r="BDY1364" s="76"/>
      <c r="BDZ1364" s="76"/>
      <c r="BEA1364" s="76"/>
      <c r="BEB1364" s="76"/>
      <c r="BEC1364" s="76"/>
      <c r="BED1364" s="76"/>
      <c r="BEE1364" s="76"/>
      <c r="BEF1364" s="76"/>
      <c r="BEG1364" s="76"/>
      <c r="BEH1364" s="76"/>
      <c r="BEI1364" s="76"/>
      <c r="BEJ1364" s="76"/>
      <c r="BEK1364" s="76"/>
      <c r="BEL1364" s="76"/>
      <c r="BEM1364" s="76"/>
      <c r="BEN1364" s="76"/>
      <c r="BEO1364" s="76"/>
      <c r="BEP1364" s="76"/>
      <c r="BEQ1364" s="76"/>
      <c r="BER1364" s="76"/>
      <c r="BES1364" s="76"/>
      <c r="BET1364" s="76"/>
      <c r="BEU1364" s="76"/>
      <c r="BEV1364" s="76"/>
      <c r="BEW1364" s="76"/>
      <c r="BEX1364" s="76"/>
      <c r="BEY1364" s="76"/>
      <c r="BEZ1364" s="76"/>
      <c r="BFA1364" s="76"/>
      <c r="BFB1364" s="76"/>
      <c r="BFC1364" s="76"/>
      <c r="BFD1364" s="76"/>
      <c r="BFE1364" s="76"/>
      <c r="BFF1364" s="76"/>
      <c r="BFG1364" s="76"/>
      <c r="BFH1364" s="76"/>
      <c r="BFI1364" s="76"/>
      <c r="BFJ1364" s="76"/>
      <c r="BFK1364" s="76"/>
      <c r="BFL1364" s="76"/>
      <c r="BFM1364" s="76"/>
      <c r="BFN1364" s="76"/>
      <c r="BFO1364" s="76"/>
      <c r="BFP1364" s="76"/>
      <c r="BFQ1364" s="76"/>
      <c r="BFR1364" s="76"/>
      <c r="BFS1364" s="76"/>
      <c r="BFT1364" s="76"/>
      <c r="BFU1364" s="76"/>
      <c r="BFV1364" s="76"/>
      <c r="BFW1364" s="76"/>
      <c r="BFX1364" s="76"/>
      <c r="BFY1364" s="76"/>
      <c r="BFZ1364" s="76"/>
      <c r="BGA1364" s="76"/>
      <c r="BGB1364" s="76"/>
      <c r="BGC1364" s="76"/>
      <c r="BGD1364" s="76"/>
      <c r="BGE1364" s="76"/>
      <c r="BGF1364" s="76"/>
      <c r="BGG1364" s="50"/>
      <c r="BGH1364" s="76"/>
      <c r="BGI1364" s="76"/>
      <c r="BGJ1364" s="76"/>
      <c r="BGK1364" s="76"/>
      <c r="BGL1364" s="76"/>
      <c r="BGM1364" s="76"/>
      <c r="BGN1364" s="76"/>
      <c r="BGO1364" s="76"/>
      <c r="BGP1364" s="76"/>
      <c r="BGQ1364" s="76"/>
      <c r="BGR1364" s="76"/>
      <c r="BGS1364" s="76"/>
      <c r="BGT1364" s="76"/>
      <c r="BGU1364" s="76"/>
      <c r="BGV1364" s="76"/>
      <c r="BGW1364" s="76"/>
      <c r="BGX1364" s="76"/>
      <c r="BGY1364" s="76"/>
      <c r="BGZ1364" s="76"/>
      <c r="BHA1364" s="76"/>
      <c r="BHB1364" s="76"/>
      <c r="BHC1364" s="76"/>
      <c r="BHD1364" s="76"/>
      <c r="BHE1364" s="76"/>
      <c r="BHF1364" s="76"/>
      <c r="BHG1364" s="76"/>
      <c r="BHH1364" s="76"/>
      <c r="BHI1364" s="76"/>
      <c r="BHJ1364" s="76"/>
      <c r="BHK1364" s="76"/>
      <c r="BHL1364" s="76"/>
      <c r="BHM1364" s="76"/>
      <c r="BHN1364" s="76"/>
      <c r="BHO1364" s="76"/>
      <c r="BHP1364" s="76"/>
      <c r="BHQ1364" s="76"/>
      <c r="BHR1364" s="76"/>
      <c r="BHS1364" s="76"/>
      <c r="BHT1364" s="76"/>
      <c r="BHU1364" s="76"/>
      <c r="BHV1364" s="76"/>
      <c r="BHW1364" s="76"/>
      <c r="BHX1364" s="76"/>
      <c r="BHY1364" s="76"/>
      <c r="BHZ1364" s="76"/>
      <c r="BIA1364" s="76"/>
      <c r="BIB1364" s="76"/>
      <c r="BIC1364" s="76"/>
      <c r="BID1364" s="76"/>
      <c r="BIE1364" s="76"/>
      <c r="BIF1364" s="76"/>
      <c r="BIG1364" s="76"/>
      <c r="BIH1364" s="76"/>
      <c r="BII1364" s="76"/>
      <c r="BIJ1364" s="76"/>
      <c r="BIK1364" s="76"/>
      <c r="BIL1364" s="76"/>
      <c r="BIM1364" s="76"/>
      <c r="BIN1364" s="76"/>
      <c r="BIO1364" s="76"/>
      <c r="BIP1364" s="76"/>
      <c r="BIQ1364" s="76"/>
      <c r="BIR1364" s="76"/>
      <c r="BIS1364" s="76"/>
      <c r="BIT1364" s="76"/>
      <c r="BIU1364" s="76"/>
      <c r="BIV1364" s="76"/>
      <c r="BIW1364" s="76"/>
      <c r="BIX1364" s="76"/>
      <c r="BIY1364" s="76"/>
      <c r="BIZ1364" s="76"/>
      <c r="BJA1364" s="76"/>
      <c r="BJB1364" s="76"/>
      <c r="BJC1364" s="76"/>
      <c r="BJD1364" s="76"/>
      <c r="BJE1364" s="76"/>
      <c r="BJF1364" s="76"/>
      <c r="BJG1364" s="76"/>
      <c r="BJH1364" s="76"/>
      <c r="BJI1364" s="76"/>
      <c r="BJJ1364" s="76"/>
      <c r="BJK1364" s="76"/>
      <c r="BJL1364" s="76"/>
      <c r="BJM1364" s="76"/>
      <c r="BJN1364" s="76"/>
      <c r="BJO1364" s="76"/>
      <c r="BJP1364" s="76"/>
      <c r="BJQ1364" s="76"/>
      <c r="BJR1364" s="76"/>
      <c r="BJS1364" s="76"/>
      <c r="BJT1364" s="76"/>
      <c r="BJU1364" s="76"/>
      <c r="BJV1364" s="76"/>
      <c r="BJW1364" s="76"/>
      <c r="BJX1364" s="76"/>
      <c r="BJY1364" s="76"/>
      <c r="BJZ1364" s="76"/>
      <c r="BKA1364" s="76"/>
      <c r="BKB1364" s="76"/>
      <c r="BKC1364" s="76"/>
      <c r="BKD1364" s="76"/>
      <c r="BKE1364" s="76"/>
      <c r="BKF1364" s="76"/>
      <c r="BKG1364" s="76"/>
      <c r="BKH1364" s="76"/>
      <c r="BKI1364" s="76"/>
      <c r="BKJ1364" s="76"/>
      <c r="BKK1364" s="76"/>
      <c r="BKL1364" s="76"/>
      <c r="BKM1364" s="76"/>
      <c r="BKN1364" s="76"/>
      <c r="BKO1364" s="76"/>
      <c r="BKP1364" s="76"/>
      <c r="BKQ1364" s="76"/>
      <c r="BKR1364" s="76"/>
      <c r="BKS1364" s="76"/>
      <c r="BKT1364" s="76"/>
      <c r="BKU1364" s="76"/>
      <c r="BKV1364" s="76"/>
      <c r="BKW1364" s="76"/>
      <c r="BKX1364" s="76"/>
      <c r="BKY1364" s="76"/>
      <c r="BKZ1364" s="76"/>
      <c r="BLA1364" s="76"/>
      <c r="BLB1364" s="76"/>
      <c r="BLC1364" s="76"/>
      <c r="BLD1364" s="76"/>
      <c r="BLE1364" s="76"/>
      <c r="BLF1364" s="76"/>
      <c r="BLG1364" s="76"/>
      <c r="BLH1364" s="76"/>
      <c r="BLI1364" s="76"/>
      <c r="BLJ1364" s="76"/>
      <c r="BLK1364" s="76"/>
      <c r="BLL1364" s="76"/>
      <c r="BLM1364" s="76"/>
      <c r="BLN1364" s="76"/>
      <c r="BLO1364" s="76"/>
      <c r="BLP1364" s="76"/>
      <c r="BLQ1364" s="76"/>
      <c r="BLR1364" s="76"/>
      <c r="BLS1364" s="76"/>
      <c r="BLT1364" s="76"/>
      <c r="BLU1364" s="76"/>
      <c r="BLV1364" s="76"/>
      <c r="BLW1364" s="76"/>
      <c r="BLX1364" s="76"/>
      <c r="BLY1364" s="76"/>
      <c r="BLZ1364" s="76"/>
      <c r="BMA1364" s="76"/>
      <c r="BMB1364" s="76"/>
      <c r="BMC1364" s="76"/>
      <c r="BMD1364" s="76"/>
      <c r="BME1364" s="76"/>
      <c r="BMF1364" s="76"/>
      <c r="BMG1364" s="76"/>
      <c r="BMH1364" s="76"/>
      <c r="BMI1364" s="76"/>
      <c r="BMJ1364" s="76"/>
      <c r="BMK1364" s="76"/>
      <c r="BML1364" s="76"/>
      <c r="BMM1364" s="76"/>
      <c r="BMN1364" s="76"/>
      <c r="BMO1364" s="76"/>
      <c r="BMP1364" s="76"/>
      <c r="BMQ1364" s="76"/>
      <c r="BMR1364" s="76"/>
      <c r="BMS1364" s="76"/>
      <c r="BMT1364" s="76"/>
      <c r="BMU1364" s="76"/>
      <c r="BMV1364" s="76"/>
      <c r="BMW1364" s="76"/>
      <c r="BMX1364" s="76"/>
      <c r="BMY1364" s="76"/>
      <c r="BMZ1364" s="76"/>
      <c r="BNA1364" s="76"/>
      <c r="BNB1364" s="76"/>
      <c r="BNC1364" s="76"/>
      <c r="BND1364" s="76"/>
      <c r="BNE1364" s="76"/>
      <c r="BNF1364" s="76"/>
      <c r="BNG1364" s="76"/>
      <c r="BNH1364" s="76"/>
      <c r="BNI1364" s="76"/>
      <c r="BNJ1364" s="76"/>
      <c r="BNK1364" s="76"/>
      <c r="BNL1364" s="76"/>
      <c r="BNM1364" s="76"/>
      <c r="BNN1364" s="76"/>
      <c r="BNO1364" s="76"/>
      <c r="BNP1364" s="76"/>
      <c r="BNQ1364" s="76"/>
      <c r="BNR1364" s="76"/>
      <c r="BNS1364" s="76"/>
      <c r="BNT1364" s="76"/>
      <c r="BNU1364" s="76"/>
      <c r="BNV1364" s="76"/>
      <c r="BNW1364" s="76"/>
      <c r="BNX1364" s="76"/>
      <c r="BNY1364" s="76"/>
      <c r="BNZ1364" s="76"/>
      <c r="BOA1364" s="76"/>
      <c r="BOB1364" s="76"/>
      <c r="BOC1364" s="76"/>
      <c r="BOD1364" s="76"/>
      <c r="BOE1364" s="76"/>
      <c r="BOF1364" s="76"/>
      <c r="BOG1364" s="76"/>
      <c r="BOH1364" s="76"/>
      <c r="BOI1364" s="76"/>
      <c r="BOJ1364" s="76"/>
      <c r="BOK1364" s="76"/>
      <c r="BOL1364" s="76"/>
      <c r="BOM1364" s="76"/>
      <c r="BON1364" s="76"/>
      <c r="BOO1364" s="76"/>
      <c r="BOP1364" s="76"/>
      <c r="BOQ1364" s="76"/>
      <c r="BOR1364" s="76"/>
      <c r="BOS1364" s="76"/>
      <c r="BOT1364" s="76"/>
      <c r="BOU1364" s="76"/>
      <c r="BOV1364" s="76"/>
      <c r="BOW1364" s="76"/>
      <c r="BOX1364" s="76"/>
      <c r="BOY1364" s="76"/>
      <c r="BOZ1364" s="76"/>
      <c r="BPA1364" s="76"/>
      <c r="BPB1364" s="76"/>
      <c r="BPC1364" s="76"/>
      <c r="BPD1364" s="76"/>
      <c r="BPE1364" s="76"/>
      <c r="BPF1364" s="76"/>
      <c r="BPG1364" s="76"/>
      <c r="BPH1364" s="76"/>
      <c r="BPI1364" s="76"/>
      <c r="BPJ1364" s="76"/>
      <c r="BPK1364" s="76"/>
      <c r="BPL1364" s="76"/>
      <c r="BPM1364" s="76"/>
      <c r="BPN1364" s="76"/>
      <c r="BPO1364" s="76"/>
      <c r="BPP1364" s="76"/>
      <c r="BPQ1364" s="76"/>
      <c r="BPR1364" s="76"/>
      <c r="BPS1364" s="76"/>
      <c r="BPT1364" s="76"/>
      <c r="BPU1364" s="76"/>
      <c r="BPV1364" s="76"/>
      <c r="BPW1364" s="76"/>
      <c r="BPX1364" s="76"/>
      <c r="BPY1364" s="76"/>
      <c r="BPZ1364" s="76"/>
      <c r="BQA1364" s="76"/>
      <c r="BQB1364" s="76"/>
      <c r="BQC1364" s="50"/>
      <c r="BQD1364" s="76"/>
      <c r="BQE1364" s="76"/>
      <c r="BQF1364" s="76"/>
      <c r="BQG1364" s="76"/>
      <c r="BQH1364" s="76"/>
      <c r="BQI1364" s="76"/>
      <c r="BQJ1364" s="76"/>
      <c r="BQK1364" s="76"/>
      <c r="BQL1364" s="76"/>
      <c r="BQM1364" s="76"/>
      <c r="BQN1364" s="76"/>
      <c r="BQO1364" s="76"/>
      <c r="BQP1364" s="76"/>
      <c r="BQQ1364" s="76"/>
      <c r="BQR1364" s="76"/>
      <c r="BQS1364" s="76"/>
      <c r="BQT1364" s="76"/>
      <c r="BQU1364" s="76"/>
      <c r="BQV1364" s="76"/>
      <c r="BQW1364" s="76"/>
      <c r="BQX1364" s="76"/>
      <c r="BQY1364" s="76"/>
      <c r="BQZ1364" s="76"/>
      <c r="BRA1364" s="76"/>
      <c r="BRB1364" s="76"/>
      <c r="BRC1364" s="76"/>
      <c r="BRD1364" s="76"/>
      <c r="BRE1364" s="76"/>
      <c r="BRF1364" s="76"/>
      <c r="BRG1364" s="76"/>
      <c r="BRH1364" s="76"/>
      <c r="BRI1364" s="76"/>
      <c r="BRJ1364" s="76"/>
      <c r="BRK1364" s="76"/>
      <c r="BRL1364" s="76"/>
      <c r="BRM1364" s="76"/>
      <c r="BRN1364" s="76"/>
      <c r="BRO1364" s="76"/>
      <c r="BRP1364" s="76"/>
      <c r="BRQ1364" s="76"/>
      <c r="BRR1364" s="76"/>
      <c r="BRS1364" s="76"/>
      <c r="BRT1364" s="76"/>
      <c r="BRU1364" s="76"/>
      <c r="BRV1364" s="76"/>
      <c r="BRW1364" s="76"/>
      <c r="BRX1364" s="76"/>
      <c r="BRY1364" s="76"/>
      <c r="BRZ1364" s="76"/>
      <c r="BSA1364" s="76"/>
      <c r="BSB1364" s="76"/>
      <c r="BSC1364" s="76"/>
      <c r="BSD1364" s="76"/>
      <c r="BSE1364" s="76"/>
      <c r="BSF1364" s="76"/>
      <c r="BSG1364" s="76"/>
      <c r="BSH1364" s="76"/>
      <c r="BSI1364" s="76"/>
      <c r="BSJ1364" s="76"/>
      <c r="BSK1364" s="76"/>
      <c r="BSL1364" s="76"/>
      <c r="BSM1364" s="76"/>
      <c r="BSN1364" s="76"/>
      <c r="BSO1364" s="76"/>
      <c r="BSP1364" s="76"/>
      <c r="BSQ1364" s="76"/>
      <c r="BSR1364" s="76"/>
      <c r="BSS1364" s="76"/>
      <c r="BST1364" s="76"/>
      <c r="BSU1364" s="76"/>
      <c r="BSV1364" s="76"/>
      <c r="BSW1364" s="76"/>
      <c r="BSX1364" s="76"/>
      <c r="BSY1364" s="76"/>
      <c r="BSZ1364" s="76"/>
      <c r="BTA1364" s="76"/>
      <c r="BTB1364" s="76"/>
      <c r="BTC1364" s="76"/>
      <c r="BTD1364" s="76"/>
      <c r="BTE1364" s="76"/>
      <c r="BTF1364" s="76"/>
      <c r="BTG1364" s="76"/>
      <c r="BTH1364" s="76"/>
      <c r="BTI1364" s="76"/>
      <c r="BTJ1364" s="76"/>
      <c r="BTK1364" s="76"/>
      <c r="BTL1364" s="76"/>
      <c r="BTM1364" s="76"/>
      <c r="BTN1364" s="76"/>
      <c r="BTO1364" s="76"/>
      <c r="BTP1364" s="76"/>
      <c r="BTQ1364" s="76"/>
      <c r="BTR1364" s="76"/>
      <c r="BTS1364" s="76"/>
      <c r="BTT1364" s="76"/>
      <c r="BTU1364" s="76"/>
      <c r="BTV1364" s="76"/>
      <c r="BTW1364" s="76"/>
      <c r="BTX1364" s="76"/>
      <c r="BTY1364" s="76"/>
      <c r="BTZ1364" s="76"/>
      <c r="BUA1364" s="76"/>
      <c r="BUB1364" s="76"/>
      <c r="BUC1364" s="76"/>
      <c r="BUD1364" s="76"/>
      <c r="BUE1364" s="76"/>
      <c r="BUF1364" s="76"/>
      <c r="BUG1364" s="76"/>
      <c r="BUH1364" s="76"/>
      <c r="BUI1364" s="76"/>
      <c r="BUJ1364" s="76"/>
      <c r="BUK1364" s="76"/>
      <c r="BUL1364" s="76"/>
      <c r="BUM1364" s="76"/>
      <c r="BUN1364" s="76"/>
      <c r="BUO1364" s="76"/>
      <c r="BUP1364" s="76"/>
      <c r="BUQ1364" s="76"/>
      <c r="BUR1364" s="76"/>
      <c r="BUS1364" s="76"/>
      <c r="BUT1364" s="76"/>
      <c r="BUU1364" s="76"/>
      <c r="BUV1364" s="76"/>
      <c r="BUW1364" s="76"/>
      <c r="BUX1364" s="76"/>
      <c r="BUY1364" s="76"/>
      <c r="BUZ1364" s="76"/>
      <c r="BVA1364" s="76"/>
      <c r="BVB1364" s="76"/>
      <c r="BVC1364" s="76"/>
      <c r="BVD1364" s="76"/>
      <c r="BVE1364" s="76"/>
      <c r="BVF1364" s="76"/>
      <c r="BVG1364" s="76"/>
      <c r="BVH1364" s="76"/>
      <c r="BVI1364" s="76"/>
      <c r="BVJ1364" s="76"/>
      <c r="BVK1364" s="76"/>
      <c r="BVL1364" s="76"/>
      <c r="BVM1364" s="76"/>
      <c r="BVN1364" s="76"/>
      <c r="BVO1364" s="76"/>
      <c r="BVP1364" s="76"/>
      <c r="BVQ1364" s="76"/>
      <c r="BVR1364" s="76"/>
      <c r="BVS1364" s="76"/>
      <c r="BVT1364" s="76"/>
      <c r="BVU1364" s="76"/>
      <c r="BVV1364" s="76"/>
      <c r="BVW1364" s="76"/>
      <c r="BVX1364" s="76"/>
      <c r="BVY1364" s="76"/>
      <c r="BVZ1364" s="76"/>
      <c r="BWA1364" s="76"/>
      <c r="BWB1364" s="76"/>
      <c r="BWC1364" s="76"/>
      <c r="BWD1364" s="76"/>
      <c r="BWE1364" s="76"/>
      <c r="BWF1364" s="76"/>
      <c r="BWG1364" s="76"/>
      <c r="BWH1364" s="76"/>
      <c r="BWI1364" s="76"/>
      <c r="BWJ1364" s="76"/>
      <c r="BWK1364" s="76"/>
      <c r="BWL1364" s="76"/>
      <c r="BWM1364" s="76"/>
      <c r="BWN1364" s="76"/>
      <c r="BWO1364" s="76"/>
      <c r="BWP1364" s="76"/>
      <c r="BWQ1364" s="76"/>
      <c r="BWR1364" s="76"/>
      <c r="BWS1364" s="76"/>
      <c r="BWT1364" s="76"/>
      <c r="BWU1364" s="76"/>
      <c r="BWV1364" s="76"/>
      <c r="BWW1364" s="76"/>
      <c r="BWX1364" s="76"/>
      <c r="BWY1364" s="76"/>
      <c r="BWZ1364" s="76"/>
      <c r="BXA1364" s="76"/>
      <c r="BXB1364" s="76"/>
      <c r="BXC1364" s="76"/>
      <c r="BXD1364" s="76"/>
      <c r="BXE1364" s="76"/>
      <c r="BXF1364" s="76"/>
      <c r="BXG1364" s="76"/>
      <c r="BXH1364" s="76"/>
      <c r="BXI1364" s="76"/>
      <c r="BXJ1364" s="76"/>
      <c r="BXK1364" s="76"/>
      <c r="BXL1364" s="76"/>
      <c r="BXM1364" s="76"/>
      <c r="BXN1364" s="76"/>
      <c r="BXO1364" s="76"/>
      <c r="BXP1364" s="76"/>
      <c r="BXQ1364" s="76"/>
      <c r="BXR1364" s="76"/>
      <c r="BXS1364" s="76"/>
      <c r="BXT1364" s="76"/>
      <c r="BXU1364" s="76"/>
      <c r="BXV1364" s="76"/>
      <c r="BXW1364" s="76"/>
      <c r="BXX1364" s="76"/>
      <c r="BXY1364" s="76"/>
      <c r="BXZ1364" s="76"/>
      <c r="BYA1364" s="76"/>
      <c r="BYB1364" s="76"/>
      <c r="BYC1364" s="76"/>
      <c r="BYD1364" s="76"/>
      <c r="BYE1364" s="76"/>
      <c r="BYF1364" s="76"/>
      <c r="BYG1364" s="76"/>
      <c r="BYH1364" s="76"/>
      <c r="BYI1364" s="76"/>
      <c r="BYJ1364" s="76"/>
      <c r="BYK1364" s="76"/>
      <c r="BYL1364" s="76"/>
      <c r="BYM1364" s="76"/>
      <c r="BYN1364" s="76"/>
      <c r="BYO1364" s="76"/>
      <c r="BYP1364" s="76"/>
      <c r="BYQ1364" s="76"/>
      <c r="BYR1364" s="76"/>
      <c r="BYS1364" s="76"/>
      <c r="BYT1364" s="76"/>
      <c r="BYU1364" s="76"/>
      <c r="BYV1364" s="76"/>
      <c r="BYW1364" s="76"/>
      <c r="BYX1364" s="76"/>
      <c r="BYY1364" s="76"/>
      <c r="BYZ1364" s="76"/>
      <c r="BZA1364" s="76"/>
      <c r="BZB1364" s="76"/>
      <c r="BZC1364" s="76"/>
      <c r="BZD1364" s="76"/>
      <c r="BZE1364" s="76"/>
      <c r="BZF1364" s="76"/>
      <c r="BZG1364" s="76"/>
      <c r="BZH1364" s="76"/>
      <c r="BZI1364" s="76"/>
      <c r="BZJ1364" s="76"/>
      <c r="BZK1364" s="76"/>
      <c r="BZL1364" s="76"/>
      <c r="BZM1364" s="76"/>
      <c r="BZN1364" s="76"/>
      <c r="BZO1364" s="76"/>
      <c r="BZP1364" s="76"/>
      <c r="BZQ1364" s="76"/>
      <c r="BZR1364" s="76"/>
      <c r="BZS1364" s="76"/>
      <c r="BZT1364" s="76"/>
      <c r="BZU1364" s="76"/>
      <c r="BZV1364" s="76"/>
      <c r="BZW1364" s="76"/>
      <c r="BZX1364" s="76"/>
      <c r="BZY1364" s="50"/>
      <c r="BZZ1364" s="76"/>
      <c r="CAA1364" s="76"/>
      <c r="CAB1364" s="76"/>
      <c r="CAC1364" s="76"/>
      <c r="CAD1364" s="76"/>
      <c r="CAE1364" s="76"/>
      <c r="CAF1364" s="76"/>
      <c r="CAG1364" s="76"/>
      <c r="CAH1364" s="76"/>
      <c r="CAI1364" s="76"/>
      <c r="CAJ1364" s="76"/>
      <c r="CAK1364" s="76"/>
      <c r="CAL1364" s="76"/>
      <c r="CAM1364" s="76"/>
      <c r="CAN1364" s="76"/>
      <c r="CAO1364" s="76"/>
      <c r="CAP1364" s="76"/>
      <c r="CAQ1364" s="76"/>
      <c r="CAR1364" s="76"/>
      <c r="CAS1364" s="76"/>
      <c r="CAT1364" s="76"/>
      <c r="CAU1364" s="76"/>
      <c r="CAV1364" s="76"/>
      <c r="CAW1364" s="76"/>
      <c r="CAX1364" s="76"/>
      <c r="CAY1364" s="76"/>
      <c r="CAZ1364" s="76"/>
      <c r="CBA1364" s="76"/>
      <c r="CBB1364" s="76"/>
      <c r="CBC1364" s="76"/>
      <c r="CBD1364" s="76"/>
      <c r="CBE1364" s="76"/>
      <c r="CBF1364" s="76"/>
      <c r="CBG1364" s="76"/>
      <c r="CBH1364" s="76"/>
      <c r="CBI1364" s="76"/>
      <c r="CBJ1364" s="76"/>
      <c r="CBK1364" s="76"/>
      <c r="CBL1364" s="76"/>
      <c r="CBM1364" s="76"/>
      <c r="CBN1364" s="76"/>
      <c r="CBO1364" s="76"/>
      <c r="CBP1364" s="76"/>
      <c r="CBQ1364" s="76"/>
      <c r="CBR1364" s="76"/>
      <c r="CBS1364" s="76"/>
      <c r="CBT1364" s="76"/>
      <c r="CBU1364" s="76"/>
      <c r="CBV1364" s="76"/>
      <c r="CBW1364" s="76"/>
      <c r="CBX1364" s="76"/>
      <c r="CBY1364" s="76"/>
      <c r="CBZ1364" s="76"/>
      <c r="CCA1364" s="76"/>
      <c r="CCB1364" s="76"/>
      <c r="CCC1364" s="76"/>
      <c r="CCD1364" s="76"/>
      <c r="CCE1364" s="76"/>
      <c r="CCF1364" s="76"/>
      <c r="CCG1364" s="76"/>
      <c r="CCH1364" s="76"/>
      <c r="CCI1364" s="76"/>
      <c r="CCJ1364" s="76"/>
      <c r="CCK1364" s="76"/>
      <c r="CCL1364" s="76"/>
      <c r="CCM1364" s="76"/>
      <c r="CCN1364" s="76"/>
      <c r="CCO1364" s="76"/>
      <c r="CCP1364" s="76"/>
      <c r="CCQ1364" s="76"/>
      <c r="CCR1364" s="76"/>
      <c r="CCS1364" s="76"/>
      <c r="CCT1364" s="76"/>
      <c r="CCU1364" s="76"/>
      <c r="CCV1364" s="76"/>
      <c r="CCW1364" s="76"/>
      <c r="CCX1364" s="76"/>
      <c r="CCY1364" s="76"/>
      <c r="CCZ1364" s="76"/>
      <c r="CDA1364" s="76"/>
      <c r="CDB1364" s="76"/>
      <c r="CDC1364" s="76"/>
      <c r="CDD1364" s="76"/>
      <c r="CDE1364" s="76"/>
      <c r="CDF1364" s="76"/>
      <c r="CDG1364" s="76"/>
      <c r="CDH1364" s="76"/>
      <c r="CDI1364" s="76"/>
      <c r="CDJ1364" s="76"/>
      <c r="CDK1364" s="76"/>
      <c r="CDL1364" s="76"/>
      <c r="CDM1364" s="76"/>
      <c r="CDN1364" s="76"/>
      <c r="CDO1364" s="76"/>
      <c r="CDP1364" s="76"/>
      <c r="CDQ1364" s="76"/>
      <c r="CDR1364" s="76"/>
      <c r="CDS1364" s="76"/>
      <c r="CDT1364" s="76"/>
      <c r="CDU1364" s="76"/>
      <c r="CDV1364" s="76"/>
      <c r="CDW1364" s="76"/>
      <c r="CDX1364" s="76"/>
      <c r="CDY1364" s="76"/>
      <c r="CDZ1364" s="76"/>
      <c r="CEA1364" s="76"/>
      <c r="CEB1364" s="76"/>
      <c r="CEC1364" s="76"/>
      <c r="CED1364" s="76"/>
      <c r="CEE1364" s="76"/>
      <c r="CEF1364" s="76"/>
      <c r="CEG1364" s="76"/>
      <c r="CEH1364" s="76"/>
      <c r="CEI1364" s="76"/>
      <c r="CEJ1364" s="76"/>
      <c r="CEK1364" s="76"/>
      <c r="CEL1364" s="76"/>
      <c r="CEM1364" s="76"/>
      <c r="CEN1364" s="76"/>
      <c r="CEO1364" s="76"/>
      <c r="CEP1364" s="76"/>
      <c r="CEQ1364" s="76"/>
      <c r="CER1364" s="76"/>
      <c r="CES1364" s="76"/>
      <c r="CET1364" s="76"/>
      <c r="CEU1364" s="76"/>
      <c r="CEV1364" s="76"/>
      <c r="CEW1364" s="76"/>
      <c r="CEX1364" s="76"/>
      <c r="CEY1364" s="76"/>
      <c r="CEZ1364" s="76"/>
      <c r="CFA1364" s="76"/>
      <c r="CFB1364" s="76"/>
      <c r="CFC1364" s="76"/>
      <c r="CFD1364" s="76"/>
      <c r="CFE1364" s="76"/>
      <c r="CFF1364" s="76"/>
      <c r="CFG1364" s="76"/>
      <c r="CFH1364" s="76"/>
      <c r="CFI1364" s="76"/>
      <c r="CFJ1364" s="76"/>
      <c r="CFK1364" s="76"/>
      <c r="CFL1364" s="76"/>
      <c r="CFM1364" s="76"/>
      <c r="CFN1364" s="76"/>
      <c r="CFO1364" s="76"/>
      <c r="CFP1364" s="76"/>
      <c r="CFQ1364" s="76"/>
      <c r="CFR1364" s="76"/>
      <c r="CFS1364" s="76"/>
      <c r="CFT1364" s="76"/>
      <c r="CFU1364" s="76"/>
      <c r="CFV1364" s="76"/>
      <c r="CFW1364" s="76"/>
      <c r="CFX1364" s="76"/>
      <c r="CFY1364" s="76"/>
      <c r="CFZ1364" s="76"/>
      <c r="CGA1364" s="76"/>
      <c r="CGB1364" s="76"/>
      <c r="CGC1364" s="76"/>
      <c r="CGD1364" s="76"/>
      <c r="CGE1364" s="76"/>
      <c r="CGF1364" s="76"/>
      <c r="CGG1364" s="76"/>
      <c r="CGH1364" s="76"/>
      <c r="CGI1364" s="76"/>
      <c r="CGJ1364" s="76"/>
      <c r="CGK1364" s="76"/>
      <c r="CGL1364" s="76"/>
      <c r="CGM1364" s="76"/>
      <c r="CGN1364" s="76"/>
      <c r="CGO1364" s="76"/>
      <c r="CGP1364" s="76"/>
      <c r="CGQ1364" s="76"/>
      <c r="CGR1364" s="76"/>
      <c r="CGS1364" s="76"/>
      <c r="CGT1364" s="76"/>
      <c r="CGU1364" s="76"/>
      <c r="CGV1364" s="76"/>
      <c r="CGW1364" s="76"/>
      <c r="CGX1364" s="76"/>
      <c r="CGY1364" s="76"/>
      <c r="CGZ1364" s="76"/>
      <c r="CHA1364" s="76"/>
      <c r="CHB1364" s="76"/>
      <c r="CHC1364" s="76"/>
      <c r="CHD1364" s="76"/>
      <c r="CHE1364" s="76"/>
      <c r="CHF1364" s="76"/>
      <c r="CHG1364" s="76"/>
      <c r="CHH1364" s="76"/>
      <c r="CHI1364" s="76"/>
      <c r="CHJ1364" s="76"/>
      <c r="CHK1364" s="76"/>
      <c r="CHL1364" s="76"/>
      <c r="CHM1364" s="76"/>
      <c r="CHN1364" s="76"/>
      <c r="CHO1364" s="76"/>
      <c r="CHP1364" s="76"/>
      <c r="CHQ1364" s="76"/>
      <c r="CHR1364" s="76"/>
      <c r="CHS1364" s="76"/>
      <c r="CHT1364" s="76"/>
      <c r="CHU1364" s="76"/>
      <c r="CHV1364" s="76"/>
      <c r="CHW1364" s="76"/>
      <c r="CHX1364" s="76"/>
      <c r="CHY1364" s="76"/>
      <c r="CHZ1364" s="76"/>
      <c r="CIA1364" s="76"/>
      <c r="CIB1364" s="76"/>
      <c r="CIC1364" s="76"/>
      <c r="CID1364" s="76"/>
      <c r="CIE1364" s="76"/>
      <c r="CIF1364" s="76"/>
      <c r="CIG1364" s="76"/>
      <c r="CIH1364" s="76"/>
      <c r="CII1364" s="76"/>
      <c r="CIJ1364" s="76"/>
      <c r="CIK1364" s="76"/>
      <c r="CIL1364" s="76"/>
      <c r="CIM1364" s="76"/>
      <c r="CIN1364" s="76"/>
      <c r="CIO1364" s="76"/>
      <c r="CIP1364" s="76"/>
      <c r="CIQ1364" s="76"/>
      <c r="CIR1364" s="76"/>
      <c r="CIS1364" s="76"/>
      <c r="CIT1364" s="76"/>
      <c r="CIU1364" s="76"/>
      <c r="CIV1364" s="76"/>
      <c r="CIW1364" s="76"/>
      <c r="CIX1364" s="76"/>
      <c r="CIY1364" s="76"/>
      <c r="CIZ1364" s="76"/>
      <c r="CJA1364" s="76"/>
      <c r="CJB1364" s="76"/>
      <c r="CJC1364" s="76"/>
      <c r="CJD1364" s="76"/>
      <c r="CJE1364" s="76"/>
      <c r="CJF1364" s="76"/>
      <c r="CJG1364" s="76"/>
      <c r="CJH1364" s="76"/>
      <c r="CJI1364" s="76"/>
      <c r="CJJ1364" s="76"/>
      <c r="CJK1364" s="76"/>
      <c r="CJL1364" s="76"/>
      <c r="CJM1364" s="76"/>
      <c r="CJN1364" s="76"/>
      <c r="CJO1364" s="76"/>
      <c r="CJP1364" s="76"/>
      <c r="CJQ1364" s="76"/>
      <c r="CJR1364" s="76"/>
      <c r="CJS1364" s="76"/>
      <c r="CJT1364" s="76"/>
      <c r="CJU1364" s="50"/>
      <c r="CJV1364" s="76"/>
      <c r="CJW1364" s="76"/>
      <c r="CJX1364" s="76"/>
      <c r="CJY1364" s="76"/>
      <c r="CJZ1364" s="76"/>
      <c r="CKA1364" s="76"/>
      <c r="CKB1364" s="76"/>
      <c r="CKC1364" s="76"/>
      <c r="CKD1364" s="76"/>
      <c r="CKE1364" s="76"/>
      <c r="CKF1364" s="76"/>
      <c r="CKG1364" s="76"/>
      <c r="CKH1364" s="76"/>
      <c r="CKI1364" s="76"/>
      <c r="CKJ1364" s="76"/>
      <c r="CKK1364" s="76"/>
      <c r="CKL1364" s="76"/>
      <c r="CKM1364" s="76"/>
      <c r="CKN1364" s="76"/>
      <c r="CKO1364" s="76"/>
      <c r="CKP1364" s="76"/>
      <c r="CKQ1364" s="76"/>
      <c r="CKR1364" s="76"/>
      <c r="CKS1364" s="76"/>
      <c r="CKT1364" s="76"/>
      <c r="CKU1364" s="76"/>
      <c r="CKV1364" s="76"/>
      <c r="CKW1364" s="76"/>
      <c r="CKX1364" s="76"/>
      <c r="CKY1364" s="76"/>
      <c r="CKZ1364" s="76"/>
      <c r="CLA1364" s="76"/>
      <c r="CLB1364" s="76"/>
      <c r="CLC1364" s="76"/>
      <c r="CLD1364" s="76"/>
      <c r="CLE1364" s="76"/>
      <c r="CLF1364" s="76"/>
      <c r="CLG1364" s="76"/>
      <c r="CLH1364" s="76"/>
      <c r="CLI1364" s="76"/>
      <c r="CLJ1364" s="76"/>
      <c r="CLK1364" s="76"/>
      <c r="CLL1364" s="76"/>
      <c r="CLM1364" s="76"/>
      <c r="CLN1364" s="76"/>
      <c r="CLO1364" s="76"/>
      <c r="CLP1364" s="76"/>
      <c r="CLQ1364" s="76"/>
      <c r="CLR1364" s="76"/>
      <c r="CLS1364" s="76"/>
      <c r="CLT1364" s="76"/>
      <c r="CLU1364" s="76"/>
      <c r="CLV1364" s="76"/>
      <c r="CLW1364" s="76"/>
      <c r="CLX1364" s="76"/>
      <c r="CLY1364" s="76"/>
      <c r="CLZ1364" s="76"/>
      <c r="CMA1364" s="76"/>
      <c r="CMB1364" s="76"/>
      <c r="CMC1364" s="76"/>
      <c r="CMD1364" s="76"/>
      <c r="CME1364" s="76"/>
      <c r="CMF1364" s="76"/>
      <c r="CMG1364" s="76"/>
      <c r="CMH1364" s="76"/>
      <c r="CMI1364" s="76"/>
      <c r="CMJ1364" s="76"/>
      <c r="CMK1364" s="76"/>
      <c r="CML1364" s="76"/>
      <c r="CMM1364" s="76"/>
      <c r="CMN1364" s="76"/>
      <c r="CMO1364" s="76"/>
      <c r="CMP1364" s="76"/>
      <c r="CMQ1364" s="76"/>
      <c r="CMR1364" s="76"/>
      <c r="CMS1364" s="76"/>
      <c r="CMT1364" s="76"/>
      <c r="CMU1364" s="76"/>
      <c r="CMV1364" s="76"/>
      <c r="CMW1364" s="76"/>
      <c r="CMX1364" s="76"/>
      <c r="CMY1364" s="76"/>
      <c r="CMZ1364" s="76"/>
      <c r="CNA1364" s="76"/>
      <c r="CNB1364" s="76"/>
      <c r="CNC1364" s="76"/>
      <c r="CND1364" s="76"/>
      <c r="CNE1364" s="76"/>
      <c r="CNF1364" s="76"/>
      <c r="CNG1364" s="76"/>
      <c r="CNH1364" s="76"/>
      <c r="CNI1364" s="76"/>
      <c r="CNJ1364" s="76"/>
      <c r="CNK1364" s="76"/>
      <c r="CNL1364" s="76"/>
      <c r="CNM1364" s="76"/>
      <c r="CNN1364" s="76"/>
      <c r="CNO1364" s="76"/>
      <c r="CNP1364" s="76"/>
      <c r="CNQ1364" s="76"/>
      <c r="CNR1364" s="76"/>
      <c r="CNS1364" s="76"/>
      <c r="CNT1364" s="76"/>
      <c r="CNU1364" s="76"/>
      <c r="CNV1364" s="76"/>
      <c r="CNW1364" s="76"/>
      <c r="CNX1364" s="76"/>
      <c r="CNY1364" s="76"/>
      <c r="CNZ1364" s="76"/>
      <c r="COA1364" s="76"/>
      <c r="COB1364" s="76"/>
      <c r="COC1364" s="76"/>
      <c r="COD1364" s="76"/>
      <c r="COE1364" s="76"/>
      <c r="COF1364" s="76"/>
      <c r="COG1364" s="76"/>
      <c r="COH1364" s="76"/>
      <c r="COI1364" s="76"/>
      <c r="COJ1364" s="76"/>
      <c r="COK1364" s="76"/>
      <c r="COL1364" s="76"/>
      <c r="COM1364" s="76"/>
      <c r="CON1364" s="76"/>
      <c r="COO1364" s="76"/>
      <c r="COP1364" s="76"/>
      <c r="COQ1364" s="76"/>
      <c r="COR1364" s="76"/>
      <c r="COS1364" s="76"/>
      <c r="COT1364" s="76"/>
      <c r="COU1364" s="76"/>
      <c r="COV1364" s="76"/>
      <c r="COW1364" s="76"/>
      <c r="COX1364" s="76"/>
      <c r="COY1364" s="76"/>
      <c r="COZ1364" s="76"/>
      <c r="CPA1364" s="76"/>
      <c r="CPB1364" s="76"/>
      <c r="CPC1364" s="76"/>
      <c r="CPD1364" s="76"/>
      <c r="CPE1364" s="76"/>
      <c r="CPF1364" s="76"/>
      <c r="CPG1364" s="76"/>
      <c r="CPH1364" s="76"/>
      <c r="CPI1364" s="76"/>
      <c r="CPJ1364" s="76"/>
      <c r="CPK1364" s="76"/>
      <c r="CPL1364" s="76"/>
      <c r="CPM1364" s="76"/>
      <c r="CPN1364" s="76"/>
      <c r="CPO1364" s="76"/>
      <c r="CPP1364" s="76"/>
      <c r="CPQ1364" s="76"/>
      <c r="CPR1364" s="76"/>
      <c r="CPS1364" s="76"/>
      <c r="CPT1364" s="76"/>
      <c r="CPU1364" s="76"/>
      <c r="CPV1364" s="76"/>
      <c r="CPW1364" s="76"/>
      <c r="CPX1364" s="76"/>
      <c r="CPY1364" s="76"/>
      <c r="CPZ1364" s="76"/>
      <c r="CQA1364" s="76"/>
      <c r="CQB1364" s="76"/>
      <c r="CQC1364" s="76"/>
      <c r="CQD1364" s="76"/>
      <c r="CQE1364" s="76"/>
      <c r="CQF1364" s="76"/>
      <c r="CQG1364" s="76"/>
      <c r="CQH1364" s="76"/>
      <c r="CQI1364" s="76"/>
      <c r="CQJ1364" s="76"/>
      <c r="CQK1364" s="76"/>
      <c r="CQL1364" s="76"/>
      <c r="CQM1364" s="76"/>
      <c r="CQN1364" s="76"/>
      <c r="CQO1364" s="76"/>
      <c r="CQP1364" s="76"/>
      <c r="CQQ1364" s="76"/>
      <c r="CQR1364" s="76"/>
      <c r="CQS1364" s="76"/>
      <c r="CQT1364" s="76"/>
      <c r="CQU1364" s="76"/>
      <c r="CQV1364" s="76"/>
      <c r="CQW1364" s="76"/>
      <c r="CQX1364" s="76"/>
      <c r="CQY1364" s="76"/>
      <c r="CQZ1364" s="76"/>
      <c r="CRA1364" s="76"/>
      <c r="CRB1364" s="76"/>
      <c r="CRC1364" s="76"/>
      <c r="CRD1364" s="76"/>
      <c r="CRE1364" s="76"/>
      <c r="CRF1364" s="76"/>
      <c r="CRG1364" s="76"/>
      <c r="CRH1364" s="76"/>
      <c r="CRI1364" s="76"/>
      <c r="CRJ1364" s="76"/>
      <c r="CRK1364" s="76"/>
      <c r="CRL1364" s="76"/>
      <c r="CRM1364" s="76"/>
      <c r="CRN1364" s="76"/>
      <c r="CRO1364" s="76"/>
      <c r="CRP1364" s="76"/>
      <c r="CRQ1364" s="76"/>
      <c r="CRR1364" s="76"/>
      <c r="CRS1364" s="76"/>
      <c r="CRT1364" s="76"/>
      <c r="CRU1364" s="76"/>
      <c r="CRV1364" s="76"/>
      <c r="CRW1364" s="76"/>
      <c r="CRX1364" s="76"/>
      <c r="CRY1364" s="76"/>
      <c r="CRZ1364" s="76"/>
      <c r="CSA1364" s="76"/>
      <c r="CSB1364" s="76"/>
      <c r="CSC1364" s="76"/>
      <c r="CSD1364" s="76"/>
      <c r="CSE1364" s="76"/>
      <c r="CSF1364" s="76"/>
      <c r="CSG1364" s="76"/>
      <c r="CSH1364" s="76"/>
      <c r="CSI1364" s="76"/>
      <c r="CSJ1364" s="76"/>
      <c r="CSK1364" s="76"/>
      <c r="CSL1364" s="76"/>
      <c r="CSM1364" s="76"/>
      <c r="CSN1364" s="76"/>
      <c r="CSO1364" s="76"/>
      <c r="CSP1364" s="76"/>
      <c r="CSQ1364" s="76"/>
      <c r="CSR1364" s="76"/>
      <c r="CSS1364" s="76"/>
      <c r="CST1364" s="76"/>
      <c r="CSU1364" s="76"/>
      <c r="CSV1364" s="76"/>
      <c r="CSW1364" s="76"/>
      <c r="CSX1364" s="76"/>
      <c r="CSY1364" s="76"/>
      <c r="CSZ1364" s="76"/>
      <c r="CTA1364" s="76"/>
      <c r="CTB1364" s="76"/>
      <c r="CTC1364" s="76"/>
      <c r="CTD1364" s="76"/>
      <c r="CTE1364" s="76"/>
      <c r="CTF1364" s="76"/>
      <c r="CTG1364" s="76"/>
      <c r="CTH1364" s="76"/>
      <c r="CTI1364" s="76"/>
      <c r="CTJ1364" s="76"/>
      <c r="CTK1364" s="76"/>
      <c r="CTL1364" s="76"/>
      <c r="CTM1364" s="76"/>
      <c r="CTN1364" s="76"/>
      <c r="CTO1364" s="76"/>
      <c r="CTP1364" s="76"/>
      <c r="CTQ1364" s="50"/>
      <c r="CTR1364" s="76"/>
      <c r="CTS1364" s="76"/>
      <c r="CTT1364" s="76"/>
      <c r="CTU1364" s="76"/>
      <c r="CTV1364" s="76"/>
      <c r="CTW1364" s="76"/>
      <c r="CTX1364" s="76"/>
      <c r="CTY1364" s="76"/>
      <c r="CTZ1364" s="76"/>
      <c r="CUA1364" s="76"/>
      <c r="CUB1364" s="76"/>
      <c r="CUC1364" s="76"/>
      <c r="CUD1364" s="76"/>
      <c r="CUE1364" s="76"/>
      <c r="CUF1364" s="76"/>
      <c r="CUG1364" s="76"/>
      <c r="CUH1364" s="76"/>
      <c r="CUI1364" s="76"/>
      <c r="CUJ1364" s="76"/>
      <c r="CUK1364" s="76"/>
      <c r="CUL1364" s="76"/>
      <c r="CUM1364" s="76"/>
      <c r="CUN1364" s="76"/>
      <c r="CUO1364" s="76"/>
      <c r="CUP1364" s="76"/>
      <c r="CUQ1364" s="76"/>
      <c r="CUR1364" s="76"/>
      <c r="CUS1364" s="76"/>
      <c r="CUT1364" s="76"/>
      <c r="CUU1364" s="76"/>
      <c r="CUV1364" s="76"/>
      <c r="CUW1364" s="76"/>
      <c r="CUX1364" s="76"/>
      <c r="CUY1364" s="76"/>
      <c r="CUZ1364" s="76"/>
      <c r="CVA1364" s="76"/>
      <c r="CVB1364" s="76"/>
      <c r="CVC1364" s="76"/>
      <c r="CVD1364" s="76"/>
      <c r="CVE1364" s="76"/>
      <c r="CVF1364" s="76"/>
      <c r="CVG1364" s="76"/>
      <c r="CVH1364" s="76"/>
      <c r="CVI1364" s="76"/>
      <c r="CVJ1364" s="76"/>
      <c r="CVK1364" s="76"/>
      <c r="CVL1364" s="76"/>
      <c r="CVM1364" s="76"/>
      <c r="CVN1364" s="76"/>
      <c r="CVO1364" s="76"/>
      <c r="CVP1364" s="76"/>
      <c r="CVQ1364" s="76"/>
      <c r="CVR1364" s="76"/>
      <c r="CVS1364" s="76"/>
      <c r="CVT1364" s="76"/>
      <c r="CVU1364" s="76"/>
      <c r="CVV1364" s="76"/>
      <c r="CVW1364" s="76"/>
      <c r="CVX1364" s="76"/>
      <c r="CVY1364" s="76"/>
      <c r="CVZ1364" s="76"/>
      <c r="CWA1364" s="76"/>
      <c r="CWB1364" s="76"/>
      <c r="CWC1364" s="76"/>
      <c r="CWD1364" s="76"/>
      <c r="CWE1364" s="76"/>
      <c r="CWF1364" s="76"/>
      <c r="CWG1364" s="76"/>
      <c r="CWH1364" s="76"/>
      <c r="CWI1364" s="76"/>
      <c r="CWJ1364" s="76"/>
      <c r="CWK1364" s="76"/>
      <c r="CWL1364" s="76"/>
      <c r="CWM1364" s="76"/>
      <c r="CWN1364" s="76"/>
      <c r="CWO1364" s="76"/>
      <c r="CWP1364" s="76"/>
      <c r="CWQ1364" s="76"/>
      <c r="CWR1364" s="76"/>
      <c r="CWS1364" s="76"/>
      <c r="CWT1364" s="76"/>
      <c r="CWU1364" s="76"/>
      <c r="CWV1364" s="76"/>
      <c r="CWW1364" s="76"/>
      <c r="CWX1364" s="76"/>
      <c r="CWY1364" s="76"/>
      <c r="CWZ1364" s="76"/>
      <c r="CXA1364" s="76"/>
      <c r="CXB1364" s="76"/>
      <c r="CXC1364" s="76"/>
      <c r="CXD1364" s="76"/>
      <c r="CXE1364" s="76"/>
      <c r="CXF1364" s="76"/>
      <c r="CXG1364" s="76"/>
      <c r="CXH1364" s="76"/>
      <c r="CXI1364" s="76"/>
      <c r="CXJ1364" s="76"/>
      <c r="CXK1364" s="76"/>
      <c r="CXL1364" s="76"/>
      <c r="CXM1364" s="76"/>
      <c r="CXN1364" s="76"/>
      <c r="CXO1364" s="76"/>
      <c r="CXP1364" s="76"/>
      <c r="CXQ1364" s="76"/>
      <c r="CXR1364" s="76"/>
      <c r="CXS1364" s="76"/>
      <c r="CXT1364" s="76"/>
      <c r="CXU1364" s="76"/>
      <c r="CXV1364" s="76"/>
      <c r="CXW1364" s="76"/>
      <c r="CXX1364" s="76"/>
      <c r="CXY1364" s="76"/>
      <c r="CXZ1364" s="76"/>
      <c r="CYA1364" s="76"/>
      <c r="CYB1364" s="76"/>
      <c r="CYC1364" s="76"/>
      <c r="CYD1364" s="76"/>
      <c r="CYE1364" s="76"/>
      <c r="CYF1364" s="76"/>
      <c r="CYG1364" s="76"/>
      <c r="CYH1364" s="76"/>
      <c r="CYI1364" s="76"/>
      <c r="CYJ1364" s="76"/>
      <c r="CYK1364" s="76"/>
      <c r="CYL1364" s="76"/>
      <c r="CYM1364" s="76"/>
      <c r="CYN1364" s="76"/>
      <c r="CYO1364" s="76"/>
      <c r="CYP1364" s="76"/>
      <c r="CYQ1364" s="76"/>
      <c r="CYR1364" s="76"/>
      <c r="CYS1364" s="76"/>
      <c r="CYT1364" s="76"/>
      <c r="CYU1364" s="76"/>
      <c r="CYV1364" s="76"/>
      <c r="CYW1364" s="76"/>
      <c r="CYX1364" s="76"/>
      <c r="CYY1364" s="76"/>
      <c r="CYZ1364" s="76"/>
      <c r="CZA1364" s="76"/>
      <c r="CZB1364" s="76"/>
      <c r="CZC1364" s="76"/>
      <c r="CZD1364" s="76"/>
      <c r="CZE1364" s="76"/>
      <c r="CZF1364" s="76"/>
      <c r="CZG1364" s="76"/>
      <c r="CZH1364" s="76"/>
      <c r="CZI1364" s="76"/>
      <c r="CZJ1364" s="76"/>
      <c r="CZK1364" s="76"/>
      <c r="CZL1364" s="76"/>
      <c r="CZM1364" s="76"/>
      <c r="CZN1364" s="76"/>
      <c r="CZO1364" s="76"/>
      <c r="CZP1364" s="76"/>
      <c r="CZQ1364" s="76"/>
      <c r="CZR1364" s="76"/>
      <c r="CZS1364" s="76"/>
      <c r="CZT1364" s="76"/>
      <c r="CZU1364" s="76"/>
      <c r="CZV1364" s="76"/>
      <c r="CZW1364" s="76"/>
      <c r="CZX1364" s="76"/>
      <c r="CZY1364" s="76"/>
      <c r="CZZ1364" s="76"/>
      <c r="DAA1364" s="76"/>
      <c r="DAB1364" s="76"/>
      <c r="DAC1364" s="76"/>
      <c r="DAD1364" s="76"/>
      <c r="DAE1364" s="76"/>
      <c r="DAF1364" s="76"/>
      <c r="DAG1364" s="76"/>
      <c r="DAH1364" s="76"/>
      <c r="DAI1364" s="76"/>
      <c r="DAJ1364" s="76"/>
      <c r="DAK1364" s="76"/>
      <c r="DAL1364" s="76"/>
      <c r="DAM1364" s="76"/>
      <c r="DAN1364" s="76"/>
      <c r="DAO1364" s="76"/>
      <c r="DAP1364" s="76"/>
      <c r="DAQ1364" s="76"/>
      <c r="DAR1364" s="76"/>
      <c r="DAS1364" s="76"/>
      <c r="DAT1364" s="76"/>
      <c r="DAU1364" s="76"/>
      <c r="DAV1364" s="76"/>
      <c r="DAW1364" s="76"/>
      <c r="DAX1364" s="76"/>
      <c r="DAY1364" s="76"/>
      <c r="DAZ1364" s="76"/>
      <c r="DBA1364" s="76"/>
      <c r="DBB1364" s="76"/>
      <c r="DBC1364" s="76"/>
      <c r="DBD1364" s="76"/>
      <c r="DBE1364" s="76"/>
      <c r="DBF1364" s="76"/>
      <c r="DBG1364" s="76"/>
      <c r="DBH1364" s="76"/>
      <c r="DBI1364" s="76"/>
      <c r="DBJ1364" s="76"/>
      <c r="DBK1364" s="76"/>
      <c r="DBL1364" s="76"/>
      <c r="DBM1364" s="76"/>
      <c r="DBN1364" s="76"/>
      <c r="DBO1364" s="76"/>
      <c r="DBP1364" s="76"/>
      <c r="DBQ1364" s="76"/>
      <c r="DBR1364" s="76"/>
      <c r="DBS1364" s="76"/>
      <c r="DBT1364" s="76"/>
      <c r="DBU1364" s="76"/>
      <c r="DBV1364" s="76"/>
      <c r="DBW1364" s="76"/>
      <c r="DBX1364" s="76"/>
      <c r="DBY1364" s="76"/>
      <c r="DBZ1364" s="76"/>
      <c r="DCA1364" s="76"/>
      <c r="DCB1364" s="76"/>
      <c r="DCC1364" s="76"/>
      <c r="DCD1364" s="76"/>
      <c r="DCE1364" s="76"/>
      <c r="DCF1364" s="76"/>
      <c r="DCG1364" s="76"/>
      <c r="DCH1364" s="76"/>
      <c r="DCI1364" s="76"/>
      <c r="DCJ1364" s="76"/>
      <c r="DCK1364" s="76"/>
      <c r="DCL1364" s="76"/>
      <c r="DCM1364" s="76"/>
      <c r="DCN1364" s="76"/>
      <c r="DCO1364" s="76"/>
      <c r="DCP1364" s="76"/>
      <c r="DCQ1364" s="76"/>
      <c r="DCR1364" s="76"/>
      <c r="DCS1364" s="76"/>
      <c r="DCT1364" s="76"/>
      <c r="DCU1364" s="76"/>
      <c r="DCV1364" s="76"/>
      <c r="DCW1364" s="76"/>
      <c r="DCX1364" s="76"/>
      <c r="DCY1364" s="76"/>
      <c r="DCZ1364" s="76"/>
      <c r="DDA1364" s="76"/>
      <c r="DDB1364" s="76"/>
      <c r="DDC1364" s="76"/>
      <c r="DDD1364" s="76"/>
      <c r="DDE1364" s="76"/>
      <c r="DDF1364" s="76"/>
      <c r="DDG1364" s="76"/>
      <c r="DDH1364" s="76"/>
      <c r="DDI1364" s="76"/>
      <c r="DDJ1364" s="76"/>
      <c r="DDK1364" s="76"/>
      <c r="DDL1364" s="76"/>
      <c r="DDM1364" s="50"/>
      <c r="DDN1364" s="76"/>
      <c r="DDO1364" s="76"/>
      <c r="DDP1364" s="76"/>
      <c r="DDQ1364" s="76"/>
      <c r="DDR1364" s="76"/>
      <c r="DDS1364" s="76"/>
      <c r="DDT1364" s="76"/>
      <c r="DDU1364" s="76"/>
      <c r="DDV1364" s="76"/>
      <c r="DDW1364" s="76"/>
      <c r="DDX1364" s="76"/>
      <c r="DDY1364" s="76"/>
      <c r="DDZ1364" s="76"/>
      <c r="DEA1364" s="76"/>
      <c r="DEB1364" s="76"/>
      <c r="DEC1364" s="76"/>
      <c r="DED1364" s="76"/>
      <c r="DEE1364" s="76"/>
      <c r="DEF1364" s="76"/>
      <c r="DEG1364" s="76"/>
      <c r="DEH1364" s="76"/>
      <c r="DEI1364" s="76"/>
      <c r="DEJ1364" s="76"/>
      <c r="DEK1364" s="76"/>
      <c r="DEL1364" s="76"/>
      <c r="DEM1364" s="76"/>
      <c r="DEN1364" s="76"/>
      <c r="DEO1364" s="76"/>
      <c r="DEP1364" s="76"/>
      <c r="DEQ1364" s="76"/>
      <c r="DER1364" s="76"/>
      <c r="DES1364" s="76"/>
      <c r="DET1364" s="76"/>
      <c r="DEU1364" s="76"/>
      <c r="DEV1364" s="76"/>
      <c r="DEW1364" s="76"/>
      <c r="DEX1364" s="76"/>
      <c r="DEY1364" s="76"/>
      <c r="DEZ1364" s="76"/>
      <c r="DFA1364" s="76"/>
      <c r="DFB1364" s="76"/>
      <c r="DFC1364" s="76"/>
      <c r="DFD1364" s="76"/>
      <c r="DFE1364" s="76"/>
      <c r="DFF1364" s="76"/>
      <c r="DFG1364" s="76"/>
      <c r="DFH1364" s="76"/>
      <c r="DFI1364" s="76"/>
      <c r="DFJ1364" s="76"/>
      <c r="DFK1364" s="76"/>
      <c r="DFL1364" s="76"/>
      <c r="DFM1364" s="76"/>
      <c r="DFN1364" s="76"/>
      <c r="DFO1364" s="76"/>
      <c r="DFP1364" s="76"/>
      <c r="DFQ1364" s="76"/>
      <c r="DFR1364" s="76"/>
      <c r="DFS1364" s="76"/>
      <c r="DFT1364" s="76"/>
      <c r="DFU1364" s="76"/>
      <c r="DFV1364" s="76"/>
      <c r="DFW1364" s="76"/>
      <c r="DFX1364" s="76"/>
      <c r="DFY1364" s="76"/>
      <c r="DFZ1364" s="76"/>
      <c r="DGA1364" s="76"/>
      <c r="DGB1364" s="76"/>
      <c r="DGC1364" s="76"/>
      <c r="DGD1364" s="76"/>
      <c r="DGE1364" s="76"/>
      <c r="DGF1364" s="76"/>
      <c r="DGG1364" s="76"/>
      <c r="DGH1364" s="76"/>
      <c r="DGI1364" s="76"/>
      <c r="DGJ1364" s="76"/>
      <c r="DGK1364" s="76"/>
      <c r="DGL1364" s="76"/>
      <c r="DGM1364" s="76"/>
      <c r="DGN1364" s="76"/>
      <c r="DGO1364" s="76"/>
      <c r="DGP1364" s="76"/>
      <c r="DGQ1364" s="76"/>
      <c r="DGR1364" s="76"/>
      <c r="DGS1364" s="76"/>
      <c r="DGT1364" s="76"/>
      <c r="DGU1364" s="76"/>
      <c r="DGV1364" s="76"/>
      <c r="DGW1364" s="76"/>
      <c r="DGX1364" s="76"/>
      <c r="DGY1364" s="76"/>
      <c r="DGZ1364" s="76"/>
      <c r="DHA1364" s="76"/>
      <c r="DHB1364" s="76"/>
      <c r="DHC1364" s="76"/>
      <c r="DHD1364" s="76"/>
      <c r="DHE1364" s="76"/>
      <c r="DHF1364" s="76"/>
      <c r="DHG1364" s="76"/>
      <c r="DHH1364" s="76"/>
      <c r="DHI1364" s="76"/>
      <c r="DHJ1364" s="76"/>
      <c r="DHK1364" s="76"/>
      <c r="DHL1364" s="76"/>
      <c r="DHM1364" s="76"/>
      <c r="DHN1364" s="76"/>
      <c r="DHO1364" s="76"/>
      <c r="DHP1364" s="76"/>
      <c r="DHQ1364" s="76"/>
      <c r="DHR1364" s="76"/>
      <c r="DHS1364" s="76"/>
      <c r="DHT1364" s="76"/>
      <c r="DHU1364" s="76"/>
      <c r="DHV1364" s="76"/>
      <c r="DHW1364" s="76"/>
      <c r="DHX1364" s="76"/>
      <c r="DHY1364" s="76"/>
      <c r="DHZ1364" s="76"/>
      <c r="DIA1364" s="76"/>
      <c r="DIB1364" s="76"/>
      <c r="DIC1364" s="76"/>
      <c r="DID1364" s="76"/>
      <c r="DIE1364" s="76"/>
      <c r="DIF1364" s="76"/>
      <c r="DIG1364" s="76"/>
      <c r="DIH1364" s="76"/>
      <c r="DII1364" s="76"/>
      <c r="DIJ1364" s="76"/>
      <c r="DIK1364" s="76"/>
      <c r="DIL1364" s="76"/>
      <c r="DIM1364" s="76"/>
      <c r="DIN1364" s="76"/>
      <c r="DIO1364" s="76"/>
      <c r="DIP1364" s="76"/>
      <c r="DIQ1364" s="76"/>
      <c r="DIR1364" s="76"/>
      <c r="DIS1364" s="76"/>
      <c r="DIT1364" s="76"/>
      <c r="DIU1364" s="76"/>
      <c r="DIV1364" s="76"/>
      <c r="DIW1364" s="76"/>
      <c r="DIX1364" s="76"/>
      <c r="DIY1364" s="76"/>
      <c r="DIZ1364" s="76"/>
      <c r="DJA1364" s="76"/>
      <c r="DJB1364" s="76"/>
      <c r="DJC1364" s="76"/>
      <c r="DJD1364" s="76"/>
      <c r="DJE1364" s="76"/>
      <c r="DJF1364" s="76"/>
      <c r="DJG1364" s="76"/>
      <c r="DJH1364" s="76"/>
      <c r="DJI1364" s="76"/>
      <c r="DJJ1364" s="76"/>
      <c r="DJK1364" s="76"/>
      <c r="DJL1364" s="76"/>
      <c r="DJM1364" s="76"/>
      <c r="DJN1364" s="76"/>
      <c r="DJO1364" s="76"/>
      <c r="DJP1364" s="76"/>
      <c r="DJQ1364" s="76"/>
      <c r="DJR1364" s="76"/>
      <c r="DJS1364" s="76"/>
      <c r="DJT1364" s="76"/>
      <c r="DJU1364" s="76"/>
      <c r="DJV1364" s="76"/>
      <c r="DJW1364" s="76"/>
      <c r="DJX1364" s="76"/>
      <c r="DJY1364" s="76"/>
      <c r="DJZ1364" s="76"/>
      <c r="DKA1364" s="76"/>
      <c r="DKB1364" s="76"/>
      <c r="DKC1364" s="76"/>
      <c r="DKD1364" s="76"/>
      <c r="DKE1364" s="76"/>
      <c r="DKF1364" s="76"/>
      <c r="DKG1364" s="76"/>
      <c r="DKH1364" s="76"/>
      <c r="DKI1364" s="76"/>
      <c r="DKJ1364" s="76"/>
      <c r="DKK1364" s="76"/>
      <c r="DKL1364" s="76"/>
      <c r="DKM1364" s="76"/>
      <c r="DKN1364" s="76"/>
      <c r="DKO1364" s="76"/>
      <c r="DKP1364" s="76"/>
      <c r="DKQ1364" s="76"/>
      <c r="DKR1364" s="76"/>
      <c r="DKS1364" s="76"/>
      <c r="DKT1364" s="76"/>
      <c r="DKU1364" s="76"/>
      <c r="DKV1364" s="76"/>
      <c r="DKW1364" s="76"/>
      <c r="DKX1364" s="76"/>
      <c r="DKY1364" s="76"/>
      <c r="DKZ1364" s="76"/>
      <c r="DLA1364" s="76"/>
      <c r="DLB1364" s="76"/>
      <c r="DLC1364" s="76"/>
      <c r="DLD1364" s="76"/>
      <c r="DLE1364" s="76"/>
      <c r="DLF1364" s="76"/>
      <c r="DLG1364" s="76"/>
      <c r="DLH1364" s="76"/>
      <c r="DLI1364" s="76"/>
      <c r="DLJ1364" s="76"/>
      <c r="DLK1364" s="76"/>
      <c r="DLL1364" s="76"/>
      <c r="DLM1364" s="76"/>
      <c r="DLN1364" s="76"/>
      <c r="DLO1364" s="76"/>
      <c r="DLP1364" s="76"/>
      <c r="DLQ1364" s="76"/>
      <c r="DLR1364" s="76"/>
      <c r="DLS1364" s="76"/>
      <c r="DLT1364" s="76"/>
      <c r="DLU1364" s="76"/>
      <c r="DLV1364" s="76"/>
      <c r="DLW1364" s="76"/>
      <c r="DLX1364" s="76"/>
      <c r="DLY1364" s="76"/>
      <c r="DLZ1364" s="76"/>
      <c r="DMA1364" s="76"/>
      <c r="DMB1364" s="76"/>
      <c r="DMC1364" s="76"/>
      <c r="DMD1364" s="76"/>
      <c r="DME1364" s="76"/>
      <c r="DMF1364" s="76"/>
      <c r="DMG1364" s="76"/>
      <c r="DMH1364" s="76"/>
      <c r="DMI1364" s="76"/>
      <c r="DMJ1364" s="76"/>
      <c r="DMK1364" s="76"/>
      <c r="DML1364" s="76"/>
      <c r="DMM1364" s="76"/>
      <c r="DMN1364" s="76"/>
      <c r="DMO1364" s="76"/>
      <c r="DMP1364" s="76"/>
      <c r="DMQ1364" s="76"/>
      <c r="DMR1364" s="76"/>
      <c r="DMS1364" s="76"/>
      <c r="DMT1364" s="76"/>
      <c r="DMU1364" s="76"/>
      <c r="DMV1364" s="76"/>
      <c r="DMW1364" s="76"/>
      <c r="DMX1364" s="76"/>
      <c r="DMY1364" s="76"/>
      <c r="DMZ1364" s="76"/>
      <c r="DNA1364" s="76"/>
      <c r="DNB1364" s="76"/>
      <c r="DNC1364" s="76"/>
      <c r="DND1364" s="76"/>
      <c r="DNE1364" s="76"/>
      <c r="DNF1364" s="76"/>
      <c r="DNG1364" s="76"/>
      <c r="DNH1364" s="76"/>
      <c r="DNI1364" s="50"/>
      <c r="DNJ1364" s="76"/>
      <c r="DNK1364" s="76"/>
      <c r="DNL1364" s="76"/>
      <c r="DNM1364" s="76"/>
      <c r="DNN1364" s="76"/>
      <c r="DNO1364" s="76"/>
      <c r="DNP1364" s="76"/>
      <c r="DNQ1364" s="76"/>
      <c r="DNR1364" s="76"/>
      <c r="DNS1364" s="76"/>
      <c r="DNT1364" s="76"/>
      <c r="DNU1364" s="76"/>
      <c r="DNV1364" s="76"/>
      <c r="DNW1364" s="76"/>
      <c r="DNX1364" s="76"/>
      <c r="DNY1364" s="76"/>
      <c r="DNZ1364" s="76"/>
      <c r="DOA1364" s="76"/>
      <c r="DOB1364" s="76"/>
      <c r="DOC1364" s="76"/>
      <c r="DOD1364" s="76"/>
      <c r="DOE1364" s="76"/>
      <c r="DOF1364" s="76"/>
      <c r="DOG1364" s="76"/>
      <c r="DOH1364" s="76"/>
      <c r="DOI1364" s="76"/>
      <c r="DOJ1364" s="76"/>
      <c r="DOK1364" s="76"/>
      <c r="DOL1364" s="76"/>
      <c r="DOM1364" s="76"/>
      <c r="DON1364" s="76"/>
      <c r="DOO1364" s="76"/>
      <c r="DOP1364" s="76"/>
      <c r="DOQ1364" s="76"/>
      <c r="DOR1364" s="76"/>
      <c r="DOS1364" s="76"/>
      <c r="DOT1364" s="76"/>
      <c r="DOU1364" s="76"/>
      <c r="DOV1364" s="76"/>
      <c r="DOW1364" s="76"/>
      <c r="DOX1364" s="76"/>
      <c r="DOY1364" s="76"/>
      <c r="DOZ1364" s="76"/>
      <c r="DPA1364" s="76"/>
      <c r="DPB1364" s="76"/>
      <c r="DPC1364" s="76"/>
      <c r="DPD1364" s="76"/>
      <c r="DPE1364" s="76"/>
      <c r="DPF1364" s="76"/>
      <c r="DPG1364" s="76"/>
      <c r="DPH1364" s="76"/>
      <c r="DPI1364" s="76"/>
      <c r="DPJ1364" s="76"/>
      <c r="DPK1364" s="76"/>
      <c r="DPL1364" s="76"/>
      <c r="DPM1364" s="76"/>
      <c r="DPN1364" s="76"/>
      <c r="DPO1364" s="76"/>
      <c r="DPP1364" s="76"/>
      <c r="DPQ1364" s="76"/>
      <c r="DPR1364" s="76"/>
      <c r="DPS1364" s="76"/>
      <c r="DPT1364" s="76"/>
      <c r="DPU1364" s="76"/>
      <c r="DPV1364" s="76"/>
      <c r="DPW1364" s="76"/>
      <c r="DPX1364" s="76"/>
      <c r="DPY1364" s="76"/>
      <c r="DPZ1364" s="76"/>
      <c r="DQA1364" s="76"/>
      <c r="DQB1364" s="76"/>
      <c r="DQC1364" s="76"/>
      <c r="DQD1364" s="76"/>
      <c r="DQE1364" s="76"/>
      <c r="DQF1364" s="76"/>
      <c r="DQG1364" s="76"/>
      <c r="DQH1364" s="76"/>
      <c r="DQI1364" s="76"/>
      <c r="DQJ1364" s="76"/>
      <c r="DQK1364" s="76"/>
      <c r="DQL1364" s="76"/>
      <c r="DQM1364" s="76"/>
      <c r="DQN1364" s="76"/>
      <c r="DQO1364" s="76"/>
      <c r="DQP1364" s="76"/>
      <c r="DQQ1364" s="76"/>
      <c r="DQR1364" s="76"/>
      <c r="DQS1364" s="76"/>
      <c r="DQT1364" s="76"/>
      <c r="DQU1364" s="76"/>
      <c r="DQV1364" s="76"/>
      <c r="DQW1364" s="76"/>
      <c r="DQX1364" s="76"/>
      <c r="DQY1364" s="76"/>
      <c r="DQZ1364" s="76"/>
      <c r="DRA1364" s="76"/>
      <c r="DRB1364" s="76"/>
      <c r="DRC1364" s="76"/>
      <c r="DRD1364" s="76"/>
      <c r="DRE1364" s="76"/>
      <c r="DRF1364" s="76"/>
      <c r="DRG1364" s="76"/>
      <c r="DRH1364" s="76"/>
      <c r="DRI1364" s="76"/>
      <c r="DRJ1364" s="76"/>
      <c r="DRK1364" s="76"/>
      <c r="DRL1364" s="76"/>
      <c r="DRM1364" s="76"/>
      <c r="DRN1364" s="76"/>
      <c r="DRO1364" s="76"/>
      <c r="DRP1364" s="76"/>
      <c r="DRQ1364" s="76"/>
      <c r="DRR1364" s="76"/>
      <c r="DRS1364" s="76"/>
      <c r="DRT1364" s="76"/>
      <c r="DRU1364" s="76"/>
      <c r="DRV1364" s="76"/>
      <c r="DRW1364" s="76"/>
      <c r="DRX1364" s="76"/>
      <c r="DRY1364" s="76"/>
      <c r="DRZ1364" s="76"/>
      <c r="DSA1364" s="76"/>
      <c r="DSB1364" s="76"/>
      <c r="DSC1364" s="76"/>
      <c r="DSD1364" s="76"/>
      <c r="DSE1364" s="76"/>
      <c r="DSF1364" s="76"/>
      <c r="DSG1364" s="76"/>
      <c r="DSH1364" s="76"/>
      <c r="DSI1364" s="76"/>
      <c r="DSJ1364" s="76"/>
      <c r="DSK1364" s="76"/>
      <c r="DSL1364" s="76"/>
      <c r="DSM1364" s="76"/>
      <c r="DSN1364" s="76"/>
      <c r="DSO1364" s="76"/>
      <c r="DSP1364" s="76"/>
      <c r="DSQ1364" s="76"/>
      <c r="DSR1364" s="76"/>
      <c r="DSS1364" s="76"/>
      <c r="DST1364" s="76"/>
      <c r="DSU1364" s="76"/>
      <c r="DSV1364" s="76"/>
      <c r="DSW1364" s="76"/>
      <c r="DSX1364" s="76"/>
      <c r="DSY1364" s="76"/>
      <c r="DSZ1364" s="76"/>
      <c r="DTA1364" s="76"/>
      <c r="DTB1364" s="76"/>
      <c r="DTC1364" s="76"/>
      <c r="DTD1364" s="76"/>
      <c r="DTE1364" s="76"/>
      <c r="DTF1364" s="76"/>
      <c r="DTG1364" s="76"/>
      <c r="DTH1364" s="76"/>
      <c r="DTI1364" s="76"/>
      <c r="DTJ1364" s="76"/>
      <c r="DTK1364" s="76"/>
      <c r="DTL1364" s="76"/>
      <c r="DTM1364" s="76"/>
      <c r="DTN1364" s="76"/>
      <c r="DTO1364" s="76"/>
      <c r="DTP1364" s="76"/>
      <c r="DTQ1364" s="76"/>
      <c r="DTR1364" s="76"/>
      <c r="DTS1364" s="76"/>
      <c r="DTT1364" s="76"/>
      <c r="DTU1364" s="76"/>
      <c r="DTV1364" s="76"/>
      <c r="DTW1364" s="76"/>
      <c r="DTX1364" s="76"/>
      <c r="DTY1364" s="76"/>
      <c r="DTZ1364" s="76"/>
      <c r="DUA1364" s="76"/>
      <c r="DUB1364" s="76"/>
      <c r="DUC1364" s="76"/>
      <c r="DUD1364" s="76"/>
      <c r="DUE1364" s="76"/>
      <c r="DUF1364" s="76"/>
      <c r="DUG1364" s="76"/>
      <c r="DUH1364" s="76"/>
      <c r="DUI1364" s="76"/>
      <c r="DUJ1364" s="76"/>
      <c r="DUK1364" s="76"/>
      <c r="DUL1364" s="76"/>
      <c r="DUM1364" s="76"/>
      <c r="DUN1364" s="76"/>
      <c r="DUO1364" s="76"/>
      <c r="DUP1364" s="76"/>
      <c r="DUQ1364" s="76"/>
      <c r="DUR1364" s="76"/>
      <c r="DUS1364" s="76"/>
      <c r="DUT1364" s="76"/>
      <c r="DUU1364" s="76"/>
      <c r="DUV1364" s="76"/>
      <c r="DUW1364" s="76"/>
      <c r="DUX1364" s="76"/>
      <c r="DUY1364" s="76"/>
      <c r="DUZ1364" s="76"/>
      <c r="DVA1364" s="76"/>
      <c r="DVB1364" s="76"/>
      <c r="DVC1364" s="76"/>
      <c r="DVD1364" s="76"/>
      <c r="DVE1364" s="76"/>
      <c r="DVF1364" s="76"/>
      <c r="DVG1364" s="76"/>
      <c r="DVH1364" s="76"/>
      <c r="DVI1364" s="76"/>
      <c r="DVJ1364" s="76"/>
      <c r="DVK1364" s="76"/>
      <c r="DVL1364" s="76"/>
      <c r="DVM1364" s="76"/>
      <c r="DVN1364" s="76"/>
      <c r="DVO1364" s="76"/>
      <c r="DVP1364" s="76"/>
      <c r="DVQ1364" s="76"/>
      <c r="DVR1364" s="76"/>
      <c r="DVS1364" s="76"/>
      <c r="DVT1364" s="76"/>
      <c r="DVU1364" s="76"/>
      <c r="DVV1364" s="76"/>
      <c r="DVW1364" s="76"/>
      <c r="DVX1364" s="76"/>
      <c r="DVY1364" s="76"/>
      <c r="DVZ1364" s="76"/>
      <c r="DWA1364" s="76"/>
      <c r="DWB1364" s="76"/>
      <c r="DWC1364" s="76"/>
      <c r="DWD1364" s="76"/>
      <c r="DWE1364" s="76"/>
      <c r="DWF1364" s="76"/>
      <c r="DWG1364" s="76"/>
      <c r="DWH1364" s="76"/>
      <c r="DWI1364" s="76"/>
      <c r="DWJ1364" s="76"/>
      <c r="DWK1364" s="76"/>
      <c r="DWL1364" s="76"/>
      <c r="DWM1364" s="76"/>
      <c r="DWN1364" s="76"/>
      <c r="DWO1364" s="76"/>
      <c r="DWP1364" s="76"/>
      <c r="DWQ1364" s="76"/>
      <c r="DWR1364" s="76"/>
      <c r="DWS1364" s="76"/>
      <c r="DWT1364" s="76"/>
      <c r="DWU1364" s="76"/>
      <c r="DWV1364" s="76"/>
      <c r="DWW1364" s="76"/>
      <c r="DWX1364" s="76"/>
      <c r="DWY1364" s="76"/>
      <c r="DWZ1364" s="76"/>
      <c r="DXA1364" s="76"/>
      <c r="DXB1364" s="76"/>
      <c r="DXC1364" s="76"/>
      <c r="DXD1364" s="76"/>
      <c r="DXE1364" s="50"/>
      <c r="DXF1364" s="76"/>
      <c r="DXG1364" s="76"/>
      <c r="DXH1364" s="76"/>
      <c r="DXI1364" s="76"/>
      <c r="DXJ1364" s="76"/>
      <c r="DXK1364" s="76"/>
      <c r="DXL1364" s="76"/>
      <c r="DXM1364" s="76"/>
      <c r="DXN1364" s="76"/>
      <c r="DXO1364" s="76"/>
      <c r="DXP1364" s="76"/>
      <c r="DXQ1364" s="76"/>
      <c r="DXR1364" s="76"/>
      <c r="DXS1364" s="76"/>
      <c r="DXT1364" s="76"/>
      <c r="DXU1364" s="76"/>
      <c r="DXV1364" s="76"/>
      <c r="DXW1364" s="76"/>
      <c r="DXX1364" s="76"/>
      <c r="DXY1364" s="76"/>
      <c r="DXZ1364" s="76"/>
      <c r="DYA1364" s="76"/>
      <c r="DYB1364" s="76"/>
      <c r="DYC1364" s="76"/>
      <c r="DYD1364" s="76"/>
      <c r="DYE1364" s="76"/>
      <c r="DYF1364" s="76"/>
      <c r="DYG1364" s="76"/>
      <c r="DYH1364" s="76"/>
      <c r="DYI1364" s="76"/>
      <c r="DYJ1364" s="76"/>
      <c r="DYK1364" s="76"/>
      <c r="DYL1364" s="76"/>
      <c r="DYM1364" s="76"/>
      <c r="DYN1364" s="76"/>
      <c r="DYO1364" s="76"/>
      <c r="DYP1364" s="76"/>
      <c r="DYQ1364" s="76"/>
      <c r="DYR1364" s="76"/>
      <c r="DYS1364" s="76"/>
      <c r="DYT1364" s="76"/>
      <c r="DYU1364" s="76"/>
      <c r="DYV1364" s="76"/>
      <c r="DYW1364" s="76"/>
      <c r="DYX1364" s="76"/>
      <c r="DYY1364" s="76"/>
      <c r="DYZ1364" s="76"/>
      <c r="DZA1364" s="76"/>
      <c r="DZB1364" s="76"/>
      <c r="DZC1364" s="76"/>
      <c r="DZD1364" s="76"/>
      <c r="DZE1364" s="76"/>
      <c r="DZF1364" s="76"/>
      <c r="DZG1364" s="76"/>
      <c r="DZH1364" s="76"/>
      <c r="DZI1364" s="76"/>
      <c r="DZJ1364" s="76"/>
      <c r="DZK1364" s="76"/>
      <c r="DZL1364" s="76"/>
      <c r="DZM1364" s="76"/>
      <c r="DZN1364" s="76"/>
      <c r="DZO1364" s="76"/>
      <c r="DZP1364" s="76"/>
      <c r="DZQ1364" s="76"/>
      <c r="DZR1364" s="76"/>
      <c r="DZS1364" s="76"/>
      <c r="DZT1364" s="76"/>
      <c r="DZU1364" s="76"/>
      <c r="DZV1364" s="76"/>
      <c r="DZW1364" s="76"/>
      <c r="DZX1364" s="76"/>
      <c r="DZY1364" s="76"/>
      <c r="DZZ1364" s="76"/>
      <c r="EAA1364" s="76"/>
      <c r="EAB1364" s="76"/>
      <c r="EAC1364" s="76"/>
      <c r="EAD1364" s="76"/>
      <c r="EAE1364" s="76"/>
      <c r="EAF1364" s="76"/>
      <c r="EAG1364" s="76"/>
      <c r="EAH1364" s="76"/>
      <c r="EAI1364" s="76"/>
      <c r="EAJ1364" s="76"/>
      <c r="EAK1364" s="76"/>
      <c r="EAL1364" s="76"/>
      <c r="EAM1364" s="76"/>
      <c r="EAN1364" s="76"/>
      <c r="EAO1364" s="76"/>
      <c r="EAP1364" s="76"/>
      <c r="EAQ1364" s="76"/>
      <c r="EAR1364" s="76"/>
      <c r="EAS1364" s="76"/>
      <c r="EAT1364" s="76"/>
      <c r="EAU1364" s="76"/>
      <c r="EAV1364" s="76"/>
      <c r="EAW1364" s="76"/>
      <c r="EAX1364" s="76"/>
      <c r="EAY1364" s="76"/>
      <c r="EAZ1364" s="76"/>
      <c r="EBA1364" s="76"/>
      <c r="EBB1364" s="76"/>
      <c r="EBC1364" s="76"/>
      <c r="EBD1364" s="76"/>
      <c r="EBE1364" s="76"/>
      <c r="EBF1364" s="76"/>
      <c r="EBG1364" s="76"/>
      <c r="EBH1364" s="76"/>
      <c r="EBI1364" s="76"/>
      <c r="EBJ1364" s="76"/>
      <c r="EBK1364" s="76"/>
      <c r="EBL1364" s="76"/>
      <c r="EBM1364" s="76"/>
      <c r="EBN1364" s="76"/>
      <c r="EBO1364" s="76"/>
      <c r="EBP1364" s="76"/>
      <c r="EBQ1364" s="76"/>
      <c r="EBR1364" s="76"/>
      <c r="EBS1364" s="76"/>
      <c r="EBT1364" s="76"/>
      <c r="EBU1364" s="76"/>
      <c r="EBV1364" s="76"/>
      <c r="EBW1364" s="76"/>
      <c r="EBX1364" s="76"/>
      <c r="EBY1364" s="76"/>
      <c r="EBZ1364" s="76"/>
      <c r="ECA1364" s="76"/>
      <c r="ECB1364" s="76"/>
      <c r="ECC1364" s="76"/>
      <c r="ECD1364" s="76"/>
      <c r="ECE1364" s="76"/>
      <c r="ECF1364" s="76"/>
      <c r="ECG1364" s="76"/>
      <c r="ECH1364" s="76"/>
      <c r="ECI1364" s="76"/>
      <c r="ECJ1364" s="76"/>
      <c r="ECK1364" s="76"/>
      <c r="ECL1364" s="76"/>
      <c r="ECM1364" s="76"/>
      <c r="ECN1364" s="76"/>
      <c r="ECO1364" s="76"/>
      <c r="ECP1364" s="76"/>
      <c r="ECQ1364" s="76"/>
      <c r="ECR1364" s="76"/>
      <c r="ECS1364" s="76"/>
      <c r="ECT1364" s="76"/>
      <c r="ECU1364" s="76"/>
      <c r="ECV1364" s="76"/>
      <c r="ECW1364" s="76"/>
      <c r="ECX1364" s="76"/>
      <c r="ECY1364" s="76"/>
      <c r="ECZ1364" s="76"/>
      <c r="EDA1364" s="76"/>
      <c r="EDB1364" s="76"/>
      <c r="EDC1364" s="76"/>
      <c r="EDD1364" s="76"/>
      <c r="EDE1364" s="76"/>
      <c r="EDF1364" s="76"/>
      <c r="EDG1364" s="76"/>
      <c r="EDH1364" s="76"/>
      <c r="EDI1364" s="76"/>
      <c r="EDJ1364" s="76"/>
      <c r="EDK1364" s="76"/>
      <c r="EDL1364" s="76"/>
      <c r="EDM1364" s="76"/>
      <c r="EDN1364" s="76"/>
      <c r="EDO1364" s="76"/>
      <c r="EDP1364" s="76"/>
      <c r="EDQ1364" s="76"/>
      <c r="EDR1364" s="76"/>
      <c r="EDS1364" s="76"/>
      <c r="EDT1364" s="76"/>
      <c r="EDU1364" s="76"/>
      <c r="EDV1364" s="76"/>
      <c r="EDW1364" s="76"/>
      <c r="EDX1364" s="76"/>
      <c r="EDY1364" s="76"/>
      <c r="EDZ1364" s="76"/>
      <c r="EEA1364" s="76"/>
      <c r="EEB1364" s="76"/>
      <c r="EEC1364" s="76"/>
      <c r="EED1364" s="76"/>
      <c r="EEE1364" s="76"/>
      <c r="EEF1364" s="76"/>
      <c r="EEG1364" s="76"/>
      <c r="EEH1364" s="76"/>
      <c r="EEI1364" s="76"/>
      <c r="EEJ1364" s="76"/>
      <c r="EEK1364" s="76"/>
      <c r="EEL1364" s="76"/>
      <c r="EEM1364" s="76"/>
      <c r="EEN1364" s="76"/>
      <c r="EEO1364" s="76"/>
      <c r="EEP1364" s="76"/>
      <c r="EEQ1364" s="76"/>
      <c r="EER1364" s="76"/>
      <c r="EES1364" s="76"/>
      <c r="EET1364" s="76"/>
      <c r="EEU1364" s="76"/>
      <c r="EEV1364" s="76"/>
      <c r="EEW1364" s="76"/>
      <c r="EEX1364" s="76"/>
      <c r="EEY1364" s="76"/>
      <c r="EEZ1364" s="76"/>
      <c r="EFA1364" s="76"/>
      <c r="EFB1364" s="76"/>
      <c r="EFC1364" s="76"/>
      <c r="EFD1364" s="76"/>
      <c r="EFE1364" s="76"/>
      <c r="EFF1364" s="76"/>
      <c r="EFG1364" s="76"/>
      <c r="EFH1364" s="76"/>
      <c r="EFI1364" s="76"/>
      <c r="EFJ1364" s="76"/>
      <c r="EFK1364" s="76"/>
      <c r="EFL1364" s="76"/>
      <c r="EFM1364" s="76"/>
      <c r="EFN1364" s="76"/>
      <c r="EFO1364" s="76"/>
      <c r="EFP1364" s="76"/>
      <c r="EFQ1364" s="76"/>
      <c r="EFR1364" s="76"/>
      <c r="EFS1364" s="76"/>
      <c r="EFT1364" s="76"/>
      <c r="EFU1364" s="76"/>
      <c r="EFV1364" s="76"/>
      <c r="EFW1364" s="76"/>
      <c r="EFX1364" s="76"/>
      <c r="EFY1364" s="76"/>
      <c r="EFZ1364" s="76"/>
      <c r="EGA1364" s="76"/>
      <c r="EGB1364" s="76"/>
      <c r="EGC1364" s="76"/>
      <c r="EGD1364" s="76"/>
      <c r="EGE1364" s="76"/>
      <c r="EGF1364" s="76"/>
      <c r="EGG1364" s="76"/>
      <c r="EGH1364" s="76"/>
      <c r="EGI1364" s="76"/>
      <c r="EGJ1364" s="76"/>
      <c r="EGK1364" s="76"/>
      <c r="EGL1364" s="76"/>
      <c r="EGM1364" s="76"/>
      <c r="EGN1364" s="76"/>
      <c r="EGO1364" s="76"/>
      <c r="EGP1364" s="76"/>
      <c r="EGQ1364" s="76"/>
      <c r="EGR1364" s="76"/>
      <c r="EGS1364" s="76"/>
      <c r="EGT1364" s="76"/>
      <c r="EGU1364" s="76"/>
      <c r="EGV1364" s="76"/>
      <c r="EGW1364" s="76"/>
      <c r="EGX1364" s="76"/>
      <c r="EGY1364" s="76"/>
      <c r="EGZ1364" s="76"/>
      <c r="EHA1364" s="50"/>
      <c r="EHB1364" s="76"/>
      <c r="EHC1364" s="76"/>
      <c r="EHD1364" s="76"/>
      <c r="EHE1364" s="76"/>
      <c r="EHF1364" s="76"/>
      <c r="EHG1364" s="76"/>
      <c r="EHH1364" s="76"/>
      <c r="EHI1364" s="76"/>
      <c r="EHJ1364" s="76"/>
      <c r="EHK1364" s="76"/>
      <c r="EHL1364" s="76"/>
      <c r="EHM1364" s="76"/>
      <c r="EHN1364" s="76"/>
      <c r="EHO1364" s="76"/>
      <c r="EHP1364" s="76"/>
      <c r="EHQ1364" s="76"/>
      <c r="EHR1364" s="76"/>
      <c r="EHS1364" s="76"/>
      <c r="EHT1364" s="76"/>
      <c r="EHU1364" s="76"/>
      <c r="EHV1364" s="76"/>
      <c r="EHW1364" s="76"/>
      <c r="EHX1364" s="76"/>
      <c r="EHY1364" s="76"/>
      <c r="EHZ1364" s="76"/>
      <c r="EIA1364" s="76"/>
      <c r="EIB1364" s="76"/>
      <c r="EIC1364" s="76"/>
      <c r="EID1364" s="76"/>
      <c r="EIE1364" s="76"/>
      <c r="EIF1364" s="76"/>
      <c r="EIG1364" s="76"/>
      <c r="EIH1364" s="76"/>
      <c r="EII1364" s="76"/>
      <c r="EIJ1364" s="76"/>
      <c r="EIK1364" s="76"/>
      <c r="EIL1364" s="76"/>
      <c r="EIM1364" s="76"/>
      <c r="EIN1364" s="76"/>
      <c r="EIO1364" s="76"/>
      <c r="EIP1364" s="76"/>
      <c r="EIQ1364" s="76"/>
      <c r="EIR1364" s="76"/>
      <c r="EIS1364" s="76"/>
      <c r="EIT1364" s="76"/>
      <c r="EIU1364" s="76"/>
      <c r="EIV1364" s="76"/>
      <c r="EIW1364" s="76"/>
      <c r="EIX1364" s="76"/>
      <c r="EIY1364" s="76"/>
      <c r="EIZ1364" s="76"/>
      <c r="EJA1364" s="76"/>
      <c r="EJB1364" s="76"/>
      <c r="EJC1364" s="76"/>
      <c r="EJD1364" s="76"/>
      <c r="EJE1364" s="76"/>
      <c r="EJF1364" s="76"/>
      <c r="EJG1364" s="76"/>
      <c r="EJH1364" s="76"/>
      <c r="EJI1364" s="76"/>
      <c r="EJJ1364" s="76"/>
      <c r="EJK1364" s="76"/>
      <c r="EJL1364" s="76"/>
      <c r="EJM1364" s="76"/>
      <c r="EJN1364" s="76"/>
      <c r="EJO1364" s="76"/>
      <c r="EJP1364" s="76"/>
      <c r="EJQ1364" s="76"/>
      <c r="EJR1364" s="76"/>
      <c r="EJS1364" s="76"/>
      <c r="EJT1364" s="76"/>
      <c r="EJU1364" s="76"/>
      <c r="EJV1364" s="76"/>
      <c r="EJW1364" s="76"/>
      <c r="EJX1364" s="76"/>
      <c r="EJY1364" s="76"/>
      <c r="EJZ1364" s="76"/>
      <c r="EKA1364" s="76"/>
      <c r="EKB1364" s="76"/>
      <c r="EKC1364" s="76"/>
      <c r="EKD1364" s="76"/>
      <c r="EKE1364" s="76"/>
      <c r="EKF1364" s="76"/>
      <c r="EKG1364" s="76"/>
      <c r="EKH1364" s="76"/>
      <c r="EKI1364" s="76"/>
      <c r="EKJ1364" s="76"/>
      <c r="EKK1364" s="76"/>
      <c r="EKL1364" s="76"/>
      <c r="EKM1364" s="76"/>
      <c r="EKN1364" s="76"/>
      <c r="EKO1364" s="76"/>
      <c r="EKP1364" s="76"/>
      <c r="EKQ1364" s="76"/>
      <c r="EKR1364" s="76"/>
      <c r="EKS1364" s="76"/>
      <c r="EKT1364" s="76"/>
      <c r="EKU1364" s="76"/>
      <c r="EKV1364" s="76"/>
      <c r="EKW1364" s="76"/>
      <c r="EKX1364" s="76"/>
      <c r="EKY1364" s="76"/>
      <c r="EKZ1364" s="76"/>
      <c r="ELA1364" s="76"/>
      <c r="ELB1364" s="76"/>
      <c r="ELC1364" s="76"/>
      <c r="ELD1364" s="76"/>
      <c r="ELE1364" s="76"/>
      <c r="ELF1364" s="76"/>
      <c r="ELG1364" s="76"/>
      <c r="ELH1364" s="76"/>
      <c r="ELI1364" s="76"/>
      <c r="ELJ1364" s="76"/>
      <c r="ELK1364" s="76"/>
      <c r="ELL1364" s="76"/>
      <c r="ELM1364" s="76"/>
      <c r="ELN1364" s="76"/>
      <c r="ELO1364" s="76"/>
      <c r="ELP1364" s="76"/>
      <c r="ELQ1364" s="76"/>
      <c r="ELR1364" s="76"/>
      <c r="ELS1364" s="76"/>
      <c r="ELT1364" s="76"/>
      <c r="ELU1364" s="76"/>
      <c r="ELV1364" s="76"/>
      <c r="ELW1364" s="76"/>
      <c r="ELX1364" s="76"/>
      <c r="ELY1364" s="76"/>
      <c r="ELZ1364" s="76"/>
      <c r="EMA1364" s="76"/>
      <c r="EMB1364" s="76"/>
      <c r="EMC1364" s="76"/>
      <c r="EMD1364" s="76"/>
      <c r="EME1364" s="76"/>
      <c r="EMF1364" s="76"/>
      <c r="EMG1364" s="76"/>
      <c r="EMH1364" s="76"/>
      <c r="EMI1364" s="76"/>
      <c r="EMJ1364" s="76"/>
      <c r="EMK1364" s="76"/>
      <c r="EML1364" s="76"/>
      <c r="EMM1364" s="76"/>
      <c r="EMN1364" s="76"/>
      <c r="EMO1364" s="76"/>
      <c r="EMP1364" s="76"/>
      <c r="EMQ1364" s="76"/>
      <c r="EMR1364" s="76"/>
      <c r="EMS1364" s="76"/>
      <c r="EMT1364" s="76"/>
      <c r="EMU1364" s="76"/>
      <c r="EMV1364" s="76"/>
      <c r="EMW1364" s="76"/>
      <c r="EMX1364" s="76"/>
      <c r="EMY1364" s="76"/>
      <c r="EMZ1364" s="76"/>
      <c r="ENA1364" s="76"/>
      <c r="ENB1364" s="76"/>
      <c r="ENC1364" s="76"/>
      <c r="END1364" s="76"/>
      <c r="ENE1364" s="76"/>
      <c r="ENF1364" s="76"/>
      <c r="ENG1364" s="76"/>
      <c r="ENH1364" s="76"/>
      <c r="ENI1364" s="76"/>
      <c r="ENJ1364" s="76"/>
      <c r="ENK1364" s="76"/>
      <c r="ENL1364" s="76"/>
      <c r="ENM1364" s="76"/>
      <c r="ENN1364" s="76"/>
      <c r="ENO1364" s="76"/>
      <c r="ENP1364" s="76"/>
      <c r="ENQ1364" s="76"/>
      <c r="ENR1364" s="76"/>
      <c r="ENS1364" s="76"/>
      <c r="ENT1364" s="76"/>
      <c r="ENU1364" s="76"/>
      <c r="ENV1364" s="76"/>
      <c r="ENW1364" s="76"/>
      <c r="ENX1364" s="76"/>
      <c r="ENY1364" s="76"/>
      <c r="ENZ1364" s="76"/>
      <c r="EOA1364" s="76"/>
      <c r="EOB1364" s="76"/>
      <c r="EOC1364" s="76"/>
      <c r="EOD1364" s="76"/>
      <c r="EOE1364" s="76"/>
      <c r="EOF1364" s="76"/>
      <c r="EOG1364" s="76"/>
      <c r="EOH1364" s="76"/>
      <c r="EOI1364" s="76"/>
      <c r="EOJ1364" s="76"/>
      <c r="EOK1364" s="76"/>
      <c r="EOL1364" s="76"/>
      <c r="EOM1364" s="76"/>
      <c r="EON1364" s="76"/>
      <c r="EOO1364" s="76"/>
      <c r="EOP1364" s="76"/>
      <c r="EOQ1364" s="76"/>
      <c r="EOR1364" s="76"/>
      <c r="EOS1364" s="76"/>
      <c r="EOT1364" s="76"/>
      <c r="EOU1364" s="76"/>
      <c r="EOV1364" s="76"/>
      <c r="EOW1364" s="76"/>
      <c r="EOX1364" s="76"/>
      <c r="EOY1364" s="76"/>
      <c r="EOZ1364" s="76"/>
      <c r="EPA1364" s="76"/>
      <c r="EPB1364" s="76"/>
      <c r="EPC1364" s="76"/>
      <c r="EPD1364" s="76"/>
      <c r="EPE1364" s="76"/>
      <c r="EPF1364" s="76"/>
      <c r="EPG1364" s="76"/>
      <c r="EPH1364" s="76"/>
      <c r="EPI1364" s="76"/>
      <c r="EPJ1364" s="76"/>
      <c r="EPK1364" s="76"/>
      <c r="EPL1364" s="76"/>
      <c r="EPM1364" s="76"/>
      <c r="EPN1364" s="76"/>
      <c r="EPO1364" s="76"/>
      <c r="EPP1364" s="76"/>
      <c r="EPQ1364" s="76"/>
      <c r="EPR1364" s="76"/>
      <c r="EPS1364" s="76"/>
      <c r="EPT1364" s="76"/>
      <c r="EPU1364" s="76"/>
      <c r="EPV1364" s="76"/>
      <c r="EPW1364" s="76"/>
      <c r="EPX1364" s="76"/>
      <c r="EPY1364" s="76"/>
      <c r="EPZ1364" s="76"/>
      <c r="EQA1364" s="76"/>
      <c r="EQB1364" s="76"/>
      <c r="EQC1364" s="76"/>
      <c r="EQD1364" s="76"/>
      <c r="EQE1364" s="76"/>
      <c r="EQF1364" s="76"/>
      <c r="EQG1364" s="76"/>
      <c r="EQH1364" s="76"/>
      <c r="EQI1364" s="76"/>
      <c r="EQJ1364" s="76"/>
      <c r="EQK1364" s="76"/>
      <c r="EQL1364" s="76"/>
      <c r="EQM1364" s="76"/>
      <c r="EQN1364" s="76"/>
      <c r="EQO1364" s="76"/>
      <c r="EQP1364" s="76"/>
      <c r="EQQ1364" s="76"/>
      <c r="EQR1364" s="76"/>
      <c r="EQS1364" s="76"/>
      <c r="EQT1364" s="76"/>
      <c r="EQU1364" s="76"/>
      <c r="EQV1364" s="76"/>
      <c r="EQW1364" s="50"/>
      <c r="EQX1364" s="76"/>
      <c r="EQY1364" s="76"/>
      <c r="EQZ1364" s="76"/>
      <c r="ERA1364" s="76"/>
      <c r="ERB1364" s="76"/>
      <c r="ERC1364" s="76"/>
      <c r="ERD1364" s="76"/>
      <c r="ERE1364" s="76"/>
      <c r="ERF1364" s="76"/>
      <c r="ERG1364" s="76"/>
      <c r="ERH1364" s="76"/>
      <c r="ERI1364" s="76"/>
      <c r="ERJ1364" s="76"/>
      <c r="ERK1364" s="76"/>
      <c r="ERL1364" s="76"/>
      <c r="ERM1364" s="76"/>
      <c r="ERN1364" s="76"/>
      <c r="ERO1364" s="76"/>
      <c r="ERP1364" s="76"/>
      <c r="ERQ1364" s="76"/>
      <c r="ERR1364" s="76"/>
      <c r="ERS1364" s="76"/>
      <c r="ERT1364" s="76"/>
      <c r="ERU1364" s="76"/>
      <c r="ERV1364" s="76"/>
      <c r="ERW1364" s="76"/>
      <c r="ERX1364" s="76"/>
      <c r="ERY1364" s="76"/>
      <c r="ERZ1364" s="76"/>
      <c r="ESA1364" s="76"/>
      <c r="ESB1364" s="76"/>
      <c r="ESC1364" s="76"/>
      <c r="ESD1364" s="76"/>
      <c r="ESE1364" s="76"/>
      <c r="ESF1364" s="76"/>
      <c r="ESG1364" s="76"/>
      <c r="ESH1364" s="76"/>
      <c r="ESI1364" s="76"/>
      <c r="ESJ1364" s="76"/>
      <c r="ESK1364" s="76"/>
      <c r="ESL1364" s="76"/>
      <c r="ESM1364" s="76"/>
      <c r="ESN1364" s="76"/>
      <c r="ESO1364" s="76"/>
      <c r="ESP1364" s="76"/>
      <c r="ESQ1364" s="76"/>
      <c r="ESR1364" s="76"/>
      <c r="ESS1364" s="76"/>
      <c r="EST1364" s="76"/>
      <c r="ESU1364" s="76"/>
      <c r="ESV1364" s="76"/>
      <c r="ESW1364" s="76"/>
      <c r="ESX1364" s="76"/>
      <c r="ESY1364" s="76"/>
      <c r="ESZ1364" s="76"/>
      <c r="ETA1364" s="76"/>
      <c r="ETB1364" s="76"/>
      <c r="ETC1364" s="76"/>
      <c r="ETD1364" s="76"/>
      <c r="ETE1364" s="76"/>
      <c r="ETF1364" s="76"/>
      <c r="ETG1364" s="76"/>
      <c r="ETH1364" s="76"/>
      <c r="ETI1364" s="76"/>
      <c r="ETJ1364" s="76"/>
      <c r="ETK1364" s="76"/>
      <c r="ETL1364" s="76"/>
      <c r="ETM1364" s="76"/>
      <c r="ETN1364" s="76"/>
      <c r="ETO1364" s="76"/>
      <c r="ETP1364" s="76"/>
      <c r="ETQ1364" s="76"/>
      <c r="ETR1364" s="76"/>
      <c r="ETS1364" s="76"/>
      <c r="ETT1364" s="76"/>
      <c r="ETU1364" s="76"/>
      <c r="ETV1364" s="76"/>
      <c r="ETW1364" s="76"/>
      <c r="ETX1364" s="76"/>
      <c r="ETY1364" s="76"/>
      <c r="ETZ1364" s="76"/>
      <c r="EUA1364" s="76"/>
      <c r="EUB1364" s="76"/>
      <c r="EUC1364" s="76"/>
      <c r="EUD1364" s="76"/>
      <c r="EUE1364" s="76"/>
      <c r="EUF1364" s="76"/>
      <c r="EUG1364" s="76"/>
      <c r="EUH1364" s="76"/>
      <c r="EUI1364" s="76"/>
      <c r="EUJ1364" s="76"/>
      <c r="EUK1364" s="76"/>
      <c r="EUL1364" s="76"/>
      <c r="EUM1364" s="76"/>
      <c r="EUN1364" s="76"/>
      <c r="EUO1364" s="76"/>
      <c r="EUP1364" s="76"/>
      <c r="EUQ1364" s="76"/>
      <c r="EUR1364" s="76"/>
      <c r="EUS1364" s="76"/>
      <c r="EUT1364" s="76"/>
      <c r="EUU1364" s="76"/>
      <c r="EUV1364" s="76"/>
      <c r="EUW1364" s="76"/>
      <c r="EUX1364" s="76"/>
      <c r="EUY1364" s="76"/>
      <c r="EUZ1364" s="76"/>
      <c r="EVA1364" s="76"/>
      <c r="EVB1364" s="76"/>
      <c r="EVC1364" s="76"/>
      <c r="EVD1364" s="76"/>
      <c r="EVE1364" s="76"/>
      <c r="EVF1364" s="76"/>
      <c r="EVG1364" s="76"/>
      <c r="EVH1364" s="76"/>
      <c r="EVI1364" s="76"/>
      <c r="EVJ1364" s="76"/>
      <c r="EVK1364" s="76"/>
      <c r="EVL1364" s="76"/>
      <c r="EVM1364" s="76"/>
      <c r="EVN1364" s="76"/>
      <c r="EVO1364" s="76"/>
      <c r="EVP1364" s="76"/>
      <c r="EVQ1364" s="76"/>
      <c r="EVR1364" s="76"/>
      <c r="EVS1364" s="76"/>
      <c r="EVT1364" s="76"/>
      <c r="EVU1364" s="76"/>
      <c r="EVV1364" s="76"/>
      <c r="EVW1364" s="76"/>
      <c r="EVX1364" s="76"/>
      <c r="EVY1364" s="76"/>
      <c r="EVZ1364" s="76"/>
      <c r="EWA1364" s="76"/>
      <c r="EWB1364" s="76"/>
      <c r="EWC1364" s="76"/>
      <c r="EWD1364" s="76"/>
      <c r="EWE1364" s="76"/>
      <c r="EWF1364" s="76"/>
      <c r="EWG1364" s="76"/>
      <c r="EWH1364" s="76"/>
      <c r="EWI1364" s="76"/>
      <c r="EWJ1364" s="76"/>
      <c r="EWK1364" s="76"/>
      <c r="EWL1364" s="76"/>
      <c r="EWM1364" s="76"/>
      <c r="EWN1364" s="76"/>
      <c r="EWO1364" s="76"/>
      <c r="EWP1364" s="76"/>
      <c r="EWQ1364" s="76"/>
      <c r="EWR1364" s="76"/>
      <c r="EWS1364" s="76"/>
      <c r="EWT1364" s="76"/>
      <c r="EWU1364" s="76"/>
      <c r="EWV1364" s="76"/>
      <c r="EWW1364" s="76"/>
      <c r="EWX1364" s="76"/>
      <c r="EWY1364" s="76"/>
      <c r="EWZ1364" s="76"/>
      <c r="EXA1364" s="76"/>
      <c r="EXB1364" s="76"/>
      <c r="EXC1364" s="76"/>
      <c r="EXD1364" s="76"/>
      <c r="EXE1364" s="76"/>
      <c r="EXF1364" s="76"/>
      <c r="EXG1364" s="76"/>
      <c r="EXH1364" s="76"/>
      <c r="EXI1364" s="76"/>
      <c r="EXJ1364" s="76"/>
      <c r="EXK1364" s="76"/>
      <c r="EXL1364" s="76"/>
      <c r="EXM1364" s="76"/>
      <c r="EXN1364" s="76"/>
      <c r="EXO1364" s="76"/>
      <c r="EXP1364" s="76"/>
      <c r="EXQ1364" s="76"/>
      <c r="EXR1364" s="76"/>
      <c r="EXS1364" s="76"/>
      <c r="EXT1364" s="76"/>
      <c r="EXU1364" s="76"/>
      <c r="EXV1364" s="76"/>
      <c r="EXW1364" s="76"/>
      <c r="EXX1364" s="76"/>
      <c r="EXY1364" s="76"/>
      <c r="EXZ1364" s="76"/>
      <c r="EYA1364" s="76"/>
      <c r="EYB1364" s="76"/>
      <c r="EYC1364" s="76"/>
      <c r="EYD1364" s="76"/>
      <c r="EYE1364" s="76"/>
      <c r="EYF1364" s="76"/>
      <c r="EYG1364" s="76"/>
      <c r="EYH1364" s="76"/>
      <c r="EYI1364" s="76"/>
      <c r="EYJ1364" s="76"/>
      <c r="EYK1364" s="76"/>
      <c r="EYL1364" s="76"/>
      <c r="EYM1364" s="76"/>
      <c r="EYN1364" s="76"/>
      <c r="EYO1364" s="76"/>
      <c r="EYP1364" s="76"/>
      <c r="EYQ1364" s="76"/>
      <c r="EYR1364" s="76"/>
      <c r="EYS1364" s="76"/>
      <c r="EYT1364" s="76"/>
      <c r="EYU1364" s="76"/>
      <c r="EYV1364" s="76"/>
      <c r="EYW1364" s="76"/>
      <c r="EYX1364" s="76"/>
      <c r="EYY1364" s="76"/>
      <c r="EYZ1364" s="76"/>
      <c r="EZA1364" s="76"/>
      <c r="EZB1364" s="76"/>
      <c r="EZC1364" s="76"/>
      <c r="EZD1364" s="76"/>
      <c r="EZE1364" s="76"/>
      <c r="EZF1364" s="76"/>
      <c r="EZG1364" s="76"/>
      <c r="EZH1364" s="76"/>
      <c r="EZI1364" s="76"/>
      <c r="EZJ1364" s="76"/>
      <c r="EZK1364" s="76"/>
      <c r="EZL1364" s="76"/>
      <c r="EZM1364" s="76"/>
      <c r="EZN1364" s="76"/>
      <c r="EZO1364" s="76"/>
      <c r="EZP1364" s="76"/>
      <c r="EZQ1364" s="76"/>
      <c r="EZR1364" s="76"/>
      <c r="EZS1364" s="76"/>
      <c r="EZT1364" s="76"/>
      <c r="EZU1364" s="76"/>
      <c r="EZV1364" s="76"/>
      <c r="EZW1364" s="76"/>
      <c r="EZX1364" s="76"/>
      <c r="EZY1364" s="76"/>
      <c r="EZZ1364" s="76"/>
      <c r="FAA1364" s="76"/>
      <c r="FAB1364" s="76"/>
      <c r="FAC1364" s="76"/>
      <c r="FAD1364" s="76"/>
      <c r="FAE1364" s="76"/>
      <c r="FAF1364" s="76"/>
      <c r="FAG1364" s="76"/>
      <c r="FAH1364" s="76"/>
      <c r="FAI1364" s="76"/>
      <c r="FAJ1364" s="76"/>
      <c r="FAK1364" s="76"/>
      <c r="FAL1364" s="76"/>
      <c r="FAM1364" s="76"/>
      <c r="FAN1364" s="76"/>
      <c r="FAO1364" s="76"/>
      <c r="FAP1364" s="76"/>
      <c r="FAQ1364" s="76"/>
      <c r="FAR1364" s="76"/>
      <c r="FAS1364" s="50"/>
      <c r="FAT1364" s="76"/>
      <c r="FAU1364" s="76"/>
      <c r="FAV1364" s="76"/>
      <c r="FAW1364" s="76"/>
      <c r="FAX1364" s="76"/>
      <c r="FAY1364" s="76"/>
      <c r="FAZ1364" s="76"/>
      <c r="FBA1364" s="76"/>
      <c r="FBB1364" s="76"/>
      <c r="FBC1364" s="76"/>
      <c r="FBD1364" s="76"/>
      <c r="FBE1364" s="76"/>
      <c r="FBF1364" s="76"/>
      <c r="FBG1364" s="76"/>
      <c r="FBH1364" s="76"/>
      <c r="FBI1364" s="76"/>
      <c r="FBJ1364" s="76"/>
      <c r="FBK1364" s="76"/>
      <c r="FBL1364" s="76"/>
      <c r="FBM1364" s="76"/>
      <c r="FBN1364" s="76"/>
      <c r="FBO1364" s="76"/>
      <c r="FBP1364" s="76"/>
      <c r="FBQ1364" s="76"/>
      <c r="FBR1364" s="76"/>
      <c r="FBS1364" s="76"/>
      <c r="FBT1364" s="76"/>
      <c r="FBU1364" s="76"/>
      <c r="FBV1364" s="76"/>
      <c r="FBW1364" s="76"/>
      <c r="FBX1364" s="76"/>
      <c r="FBY1364" s="76"/>
      <c r="FBZ1364" s="76"/>
      <c r="FCA1364" s="76"/>
      <c r="FCB1364" s="76"/>
      <c r="FCC1364" s="76"/>
      <c r="FCD1364" s="76"/>
      <c r="FCE1364" s="76"/>
      <c r="FCF1364" s="76"/>
      <c r="FCG1364" s="76"/>
      <c r="FCH1364" s="76"/>
      <c r="FCI1364" s="76"/>
      <c r="FCJ1364" s="76"/>
      <c r="FCK1364" s="76"/>
      <c r="FCL1364" s="76"/>
      <c r="FCM1364" s="76"/>
      <c r="FCN1364" s="76"/>
      <c r="FCO1364" s="76"/>
      <c r="FCP1364" s="76"/>
      <c r="FCQ1364" s="76"/>
      <c r="FCR1364" s="76"/>
      <c r="FCS1364" s="76"/>
      <c r="FCT1364" s="76"/>
      <c r="FCU1364" s="76"/>
      <c r="FCV1364" s="76"/>
      <c r="FCW1364" s="76"/>
      <c r="FCX1364" s="76"/>
      <c r="FCY1364" s="76"/>
      <c r="FCZ1364" s="76"/>
      <c r="FDA1364" s="76"/>
      <c r="FDB1364" s="76"/>
      <c r="FDC1364" s="76"/>
      <c r="FDD1364" s="76"/>
      <c r="FDE1364" s="76"/>
      <c r="FDF1364" s="76"/>
      <c r="FDG1364" s="76"/>
      <c r="FDH1364" s="76"/>
      <c r="FDI1364" s="76"/>
      <c r="FDJ1364" s="76"/>
      <c r="FDK1364" s="76"/>
      <c r="FDL1364" s="76"/>
      <c r="FDM1364" s="76"/>
      <c r="FDN1364" s="76"/>
      <c r="FDO1364" s="76"/>
      <c r="FDP1364" s="76"/>
      <c r="FDQ1364" s="76"/>
      <c r="FDR1364" s="76"/>
      <c r="FDS1364" s="76"/>
      <c r="FDT1364" s="76"/>
      <c r="FDU1364" s="76"/>
      <c r="FDV1364" s="76"/>
      <c r="FDW1364" s="76"/>
      <c r="FDX1364" s="76"/>
      <c r="FDY1364" s="76"/>
      <c r="FDZ1364" s="76"/>
      <c r="FEA1364" s="76"/>
      <c r="FEB1364" s="76"/>
      <c r="FEC1364" s="76"/>
      <c r="FED1364" s="76"/>
      <c r="FEE1364" s="76"/>
      <c r="FEF1364" s="76"/>
      <c r="FEG1364" s="76"/>
      <c r="FEH1364" s="76"/>
      <c r="FEI1364" s="76"/>
      <c r="FEJ1364" s="76"/>
      <c r="FEK1364" s="76"/>
      <c r="FEL1364" s="76"/>
      <c r="FEM1364" s="76"/>
      <c r="FEN1364" s="76"/>
      <c r="FEO1364" s="76"/>
      <c r="FEP1364" s="76"/>
      <c r="FEQ1364" s="76"/>
      <c r="FER1364" s="76"/>
      <c r="FES1364" s="76"/>
      <c r="FET1364" s="76"/>
      <c r="FEU1364" s="76"/>
      <c r="FEV1364" s="76"/>
      <c r="FEW1364" s="76"/>
      <c r="FEX1364" s="76"/>
      <c r="FEY1364" s="76"/>
      <c r="FEZ1364" s="76"/>
      <c r="FFA1364" s="76"/>
      <c r="FFB1364" s="76"/>
      <c r="FFC1364" s="76"/>
      <c r="FFD1364" s="76"/>
      <c r="FFE1364" s="76"/>
      <c r="FFF1364" s="76"/>
      <c r="FFG1364" s="76"/>
      <c r="FFH1364" s="76"/>
      <c r="FFI1364" s="76"/>
      <c r="FFJ1364" s="76"/>
      <c r="FFK1364" s="76"/>
      <c r="FFL1364" s="76"/>
      <c r="FFM1364" s="76"/>
      <c r="FFN1364" s="76"/>
      <c r="FFO1364" s="76"/>
      <c r="FFP1364" s="76"/>
      <c r="FFQ1364" s="76"/>
      <c r="FFR1364" s="76"/>
      <c r="FFS1364" s="76"/>
      <c r="FFT1364" s="76"/>
      <c r="FFU1364" s="76"/>
      <c r="FFV1364" s="76"/>
      <c r="FFW1364" s="76"/>
      <c r="FFX1364" s="76"/>
      <c r="FFY1364" s="76"/>
      <c r="FFZ1364" s="76"/>
      <c r="FGA1364" s="76"/>
      <c r="FGB1364" s="76"/>
      <c r="FGC1364" s="76"/>
      <c r="FGD1364" s="76"/>
      <c r="FGE1364" s="76"/>
      <c r="FGF1364" s="76"/>
      <c r="FGG1364" s="76"/>
      <c r="FGH1364" s="76"/>
      <c r="FGI1364" s="76"/>
      <c r="FGJ1364" s="76"/>
      <c r="FGK1364" s="76"/>
      <c r="FGL1364" s="76"/>
      <c r="FGM1364" s="76"/>
      <c r="FGN1364" s="76"/>
      <c r="FGO1364" s="76"/>
      <c r="FGP1364" s="76"/>
      <c r="FGQ1364" s="76"/>
      <c r="FGR1364" s="76"/>
      <c r="FGS1364" s="76"/>
      <c r="FGT1364" s="76"/>
      <c r="FGU1364" s="76"/>
      <c r="FGV1364" s="76"/>
      <c r="FGW1364" s="76"/>
      <c r="FGX1364" s="76"/>
      <c r="FGY1364" s="76"/>
      <c r="FGZ1364" s="76"/>
      <c r="FHA1364" s="76"/>
      <c r="FHB1364" s="76"/>
      <c r="FHC1364" s="76"/>
      <c r="FHD1364" s="76"/>
      <c r="FHE1364" s="76"/>
      <c r="FHF1364" s="76"/>
      <c r="FHG1364" s="76"/>
      <c r="FHH1364" s="76"/>
      <c r="FHI1364" s="76"/>
      <c r="FHJ1364" s="76"/>
      <c r="FHK1364" s="76"/>
      <c r="FHL1364" s="76"/>
      <c r="FHM1364" s="76"/>
      <c r="FHN1364" s="76"/>
      <c r="FHO1364" s="76"/>
      <c r="FHP1364" s="76"/>
      <c r="FHQ1364" s="76"/>
      <c r="FHR1364" s="76"/>
      <c r="FHS1364" s="76"/>
      <c r="FHT1364" s="76"/>
      <c r="FHU1364" s="76"/>
      <c r="FHV1364" s="76"/>
      <c r="FHW1364" s="76"/>
      <c r="FHX1364" s="76"/>
      <c r="FHY1364" s="76"/>
      <c r="FHZ1364" s="76"/>
      <c r="FIA1364" s="76"/>
      <c r="FIB1364" s="76"/>
      <c r="FIC1364" s="76"/>
      <c r="FID1364" s="76"/>
      <c r="FIE1364" s="76"/>
      <c r="FIF1364" s="76"/>
      <c r="FIG1364" s="76"/>
      <c r="FIH1364" s="76"/>
      <c r="FII1364" s="76"/>
      <c r="FIJ1364" s="76"/>
      <c r="FIK1364" s="76"/>
      <c r="FIL1364" s="76"/>
      <c r="FIM1364" s="76"/>
      <c r="FIN1364" s="76"/>
      <c r="FIO1364" s="76"/>
      <c r="FIP1364" s="76"/>
      <c r="FIQ1364" s="76"/>
      <c r="FIR1364" s="76"/>
      <c r="FIS1364" s="76"/>
      <c r="FIT1364" s="76"/>
      <c r="FIU1364" s="76"/>
      <c r="FIV1364" s="76"/>
      <c r="FIW1364" s="76"/>
      <c r="FIX1364" s="76"/>
      <c r="FIY1364" s="76"/>
      <c r="FIZ1364" s="76"/>
      <c r="FJA1364" s="76"/>
      <c r="FJB1364" s="76"/>
      <c r="FJC1364" s="76"/>
      <c r="FJD1364" s="76"/>
      <c r="FJE1364" s="76"/>
      <c r="FJF1364" s="76"/>
      <c r="FJG1364" s="76"/>
      <c r="FJH1364" s="76"/>
      <c r="FJI1364" s="76"/>
      <c r="FJJ1364" s="76"/>
      <c r="FJK1364" s="76"/>
      <c r="FJL1364" s="76"/>
      <c r="FJM1364" s="76"/>
      <c r="FJN1364" s="76"/>
      <c r="FJO1364" s="76"/>
      <c r="FJP1364" s="76"/>
      <c r="FJQ1364" s="76"/>
      <c r="FJR1364" s="76"/>
      <c r="FJS1364" s="76"/>
      <c r="FJT1364" s="76"/>
      <c r="FJU1364" s="76"/>
      <c r="FJV1364" s="76"/>
      <c r="FJW1364" s="76"/>
      <c r="FJX1364" s="76"/>
      <c r="FJY1364" s="76"/>
      <c r="FJZ1364" s="76"/>
      <c r="FKA1364" s="76"/>
      <c r="FKB1364" s="76"/>
      <c r="FKC1364" s="76"/>
      <c r="FKD1364" s="76"/>
      <c r="FKE1364" s="76"/>
      <c r="FKF1364" s="76"/>
      <c r="FKG1364" s="76"/>
      <c r="FKH1364" s="76"/>
      <c r="FKI1364" s="76"/>
      <c r="FKJ1364" s="76"/>
      <c r="FKK1364" s="76"/>
      <c r="FKL1364" s="76"/>
      <c r="FKM1364" s="76"/>
      <c r="FKN1364" s="76"/>
      <c r="FKO1364" s="50"/>
      <c r="FKP1364" s="76"/>
      <c r="FKQ1364" s="76"/>
      <c r="FKR1364" s="76"/>
      <c r="FKS1364" s="76"/>
      <c r="FKT1364" s="76"/>
      <c r="FKU1364" s="76"/>
      <c r="FKV1364" s="76"/>
      <c r="FKW1364" s="76"/>
      <c r="FKX1364" s="76"/>
      <c r="FKY1364" s="76"/>
      <c r="FKZ1364" s="76"/>
      <c r="FLA1364" s="76"/>
      <c r="FLB1364" s="76"/>
      <c r="FLC1364" s="76"/>
      <c r="FLD1364" s="76"/>
      <c r="FLE1364" s="76"/>
      <c r="FLF1364" s="76"/>
      <c r="FLG1364" s="76"/>
      <c r="FLH1364" s="76"/>
      <c r="FLI1364" s="76"/>
      <c r="FLJ1364" s="76"/>
      <c r="FLK1364" s="76"/>
      <c r="FLL1364" s="76"/>
      <c r="FLM1364" s="76"/>
      <c r="FLN1364" s="76"/>
      <c r="FLO1364" s="76"/>
      <c r="FLP1364" s="76"/>
      <c r="FLQ1364" s="76"/>
      <c r="FLR1364" s="76"/>
      <c r="FLS1364" s="76"/>
      <c r="FLT1364" s="76"/>
      <c r="FLU1364" s="76"/>
      <c r="FLV1364" s="76"/>
      <c r="FLW1364" s="76"/>
      <c r="FLX1364" s="76"/>
      <c r="FLY1364" s="76"/>
      <c r="FLZ1364" s="76"/>
      <c r="FMA1364" s="76"/>
      <c r="FMB1364" s="76"/>
      <c r="FMC1364" s="76"/>
      <c r="FMD1364" s="76"/>
      <c r="FME1364" s="76"/>
      <c r="FMF1364" s="76"/>
      <c r="FMG1364" s="76"/>
      <c r="FMH1364" s="76"/>
      <c r="FMI1364" s="76"/>
      <c r="FMJ1364" s="76"/>
      <c r="FMK1364" s="76"/>
      <c r="FML1364" s="76"/>
      <c r="FMM1364" s="76"/>
      <c r="FMN1364" s="76"/>
      <c r="FMO1364" s="76"/>
      <c r="FMP1364" s="76"/>
      <c r="FMQ1364" s="76"/>
      <c r="FMR1364" s="76"/>
      <c r="FMS1364" s="76"/>
      <c r="FMT1364" s="76"/>
      <c r="FMU1364" s="76"/>
      <c r="FMV1364" s="76"/>
      <c r="FMW1364" s="76"/>
      <c r="FMX1364" s="76"/>
      <c r="FMY1364" s="76"/>
      <c r="FMZ1364" s="76"/>
      <c r="FNA1364" s="76"/>
      <c r="FNB1364" s="76"/>
      <c r="FNC1364" s="76"/>
      <c r="FND1364" s="76"/>
      <c r="FNE1364" s="76"/>
      <c r="FNF1364" s="76"/>
      <c r="FNG1364" s="76"/>
      <c r="FNH1364" s="76"/>
      <c r="FNI1364" s="76"/>
      <c r="FNJ1364" s="76"/>
      <c r="FNK1364" s="76"/>
      <c r="FNL1364" s="76"/>
      <c r="FNM1364" s="76"/>
      <c r="FNN1364" s="76"/>
      <c r="FNO1364" s="76"/>
      <c r="FNP1364" s="76"/>
      <c r="FNQ1364" s="76"/>
      <c r="FNR1364" s="76"/>
      <c r="FNS1364" s="76"/>
      <c r="FNT1364" s="76"/>
      <c r="FNU1364" s="76"/>
      <c r="FNV1364" s="76"/>
      <c r="FNW1364" s="76"/>
      <c r="FNX1364" s="76"/>
      <c r="FNY1364" s="76"/>
      <c r="FNZ1364" s="76"/>
      <c r="FOA1364" s="76"/>
      <c r="FOB1364" s="76"/>
      <c r="FOC1364" s="76"/>
      <c r="FOD1364" s="76"/>
      <c r="FOE1364" s="76"/>
      <c r="FOF1364" s="76"/>
      <c r="FOG1364" s="76"/>
      <c r="FOH1364" s="76"/>
      <c r="FOI1364" s="76"/>
      <c r="FOJ1364" s="76"/>
      <c r="FOK1364" s="76"/>
      <c r="FOL1364" s="76"/>
      <c r="FOM1364" s="76"/>
      <c r="FON1364" s="76"/>
      <c r="FOO1364" s="76"/>
      <c r="FOP1364" s="76"/>
      <c r="FOQ1364" s="76"/>
      <c r="FOR1364" s="76"/>
      <c r="FOS1364" s="76"/>
      <c r="FOT1364" s="76"/>
      <c r="FOU1364" s="76"/>
      <c r="FOV1364" s="76"/>
      <c r="FOW1364" s="76"/>
      <c r="FOX1364" s="76"/>
      <c r="FOY1364" s="76"/>
      <c r="FOZ1364" s="76"/>
      <c r="FPA1364" s="76"/>
      <c r="FPB1364" s="76"/>
      <c r="FPC1364" s="76"/>
      <c r="FPD1364" s="76"/>
      <c r="FPE1364" s="76"/>
      <c r="FPF1364" s="76"/>
      <c r="FPG1364" s="76"/>
      <c r="FPH1364" s="76"/>
      <c r="FPI1364" s="76"/>
      <c r="FPJ1364" s="76"/>
      <c r="FPK1364" s="76"/>
      <c r="FPL1364" s="76"/>
      <c r="FPM1364" s="76"/>
      <c r="FPN1364" s="76"/>
      <c r="FPO1364" s="76"/>
      <c r="FPP1364" s="76"/>
      <c r="FPQ1364" s="76"/>
      <c r="FPR1364" s="76"/>
      <c r="FPS1364" s="76"/>
      <c r="FPT1364" s="76"/>
      <c r="FPU1364" s="76"/>
      <c r="FPV1364" s="76"/>
      <c r="FPW1364" s="76"/>
      <c r="FPX1364" s="76"/>
      <c r="FPY1364" s="76"/>
      <c r="FPZ1364" s="76"/>
      <c r="FQA1364" s="76"/>
      <c r="FQB1364" s="76"/>
      <c r="FQC1364" s="76"/>
      <c r="FQD1364" s="76"/>
      <c r="FQE1364" s="76"/>
      <c r="FQF1364" s="76"/>
      <c r="FQG1364" s="76"/>
      <c r="FQH1364" s="76"/>
      <c r="FQI1364" s="76"/>
      <c r="FQJ1364" s="76"/>
      <c r="FQK1364" s="76"/>
      <c r="FQL1364" s="76"/>
      <c r="FQM1364" s="76"/>
      <c r="FQN1364" s="76"/>
      <c r="FQO1364" s="76"/>
      <c r="FQP1364" s="76"/>
      <c r="FQQ1364" s="76"/>
      <c r="FQR1364" s="76"/>
      <c r="FQS1364" s="76"/>
      <c r="FQT1364" s="76"/>
      <c r="FQU1364" s="76"/>
      <c r="FQV1364" s="76"/>
      <c r="FQW1364" s="76"/>
      <c r="FQX1364" s="76"/>
      <c r="FQY1364" s="76"/>
      <c r="FQZ1364" s="76"/>
      <c r="FRA1364" s="76"/>
      <c r="FRB1364" s="76"/>
      <c r="FRC1364" s="76"/>
      <c r="FRD1364" s="76"/>
      <c r="FRE1364" s="76"/>
      <c r="FRF1364" s="76"/>
      <c r="FRG1364" s="76"/>
      <c r="FRH1364" s="76"/>
      <c r="FRI1364" s="76"/>
      <c r="FRJ1364" s="76"/>
      <c r="FRK1364" s="76"/>
      <c r="FRL1364" s="76"/>
      <c r="FRM1364" s="76"/>
      <c r="FRN1364" s="76"/>
      <c r="FRO1364" s="76"/>
      <c r="FRP1364" s="76"/>
      <c r="FRQ1364" s="76"/>
      <c r="FRR1364" s="76"/>
      <c r="FRS1364" s="76"/>
      <c r="FRT1364" s="76"/>
      <c r="FRU1364" s="76"/>
      <c r="FRV1364" s="76"/>
      <c r="FRW1364" s="76"/>
      <c r="FRX1364" s="76"/>
      <c r="FRY1364" s="76"/>
      <c r="FRZ1364" s="76"/>
      <c r="FSA1364" s="76"/>
      <c r="FSB1364" s="76"/>
      <c r="FSC1364" s="76"/>
      <c r="FSD1364" s="76"/>
      <c r="FSE1364" s="76"/>
      <c r="FSF1364" s="76"/>
      <c r="FSG1364" s="76"/>
      <c r="FSH1364" s="76"/>
      <c r="FSI1364" s="76"/>
      <c r="FSJ1364" s="76"/>
      <c r="FSK1364" s="76"/>
      <c r="FSL1364" s="76"/>
      <c r="FSM1364" s="76"/>
      <c r="FSN1364" s="76"/>
      <c r="FSO1364" s="76"/>
      <c r="FSP1364" s="76"/>
      <c r="FSQ1364" s="76"/>
      <c r="FSR1364" s="76"/>
      <c r="FSS1364" s="76"/>
      <c r="FST1364" s="76"/>
      <c r="FSU1364" s="76"/>
      <c r="FSV1364" s="76"/>
      <c r="FSW1364" s="76"/>
      <c r="FSX1364" s="76"/>
      <c r="FSY1364" s="76"/>
      <c r="FSZ1364" s="76"/>
      <c r="FTA1364" s="76"/>
      <c r="FTB1364" s="76"/>
      <c r="FTC1364" s="76"/>
      <c r="FTD1364" s="76"/>
      <c r="FTE1364" s="76"/>
      <c r="FTF1364" s="76"/>
      <c r="FTG1364" s="76"/>
      <c r="FTH1364" s="76"/>
      <c r="FTI1364" s="76"/>
      <c r="FTJ1364" s="76"/>
      <c r="FTK1364" s="76"/>
      <c r="FTL1364" s="76"/>
      <c r="FTM1364" s="76"/>
      <c r="FTN1364" s="76"/>
      <c r="FTO1364" s="76"/>
      <c r="FTP1364" s="76"/>
      <c r="FTQ1364" s="76"/>
      <c r="FTR1364" s="76"/>
      <c r="FTS1364" s="76"/>
      <c r="FTT1364" s="76"/>
      <c r="FTU1364" s="76"/>
      <c r="FTV1364" s="76"/>
      <c r="FTW1364" s="76"/>
      <c r="FTX1364" s="76"/>
      <c r="FTY1364" s="76"/>
      <c r="FTZ1364" s="76"/>
      <c r="FUA1364" s="76"/>
      <c r="FUB1364" s="76"/>
      <c r="FUC1364" s="76"/>
      <c r="FUD1364" s="76"/>
      <c r="FUE1364" s="76"/>
      <c r="FUF1364" s="76"/>
      <c r="FUG1364" s="76"/>
      <c r="FUH1364" s="76"/>
      <c r="FUI1364" s="76"/>
      <c r="FUJ1364" s="76"/>
      <c r="FUK1364" s="50"/>
      <c r="FUL1364" s="76"/>
      <c r="FUM1364" s="76"/>
      <c r="FUN1364" s="76"/>
      <c r="FUO1364" s="76"/>
      <c r="FUP1364" s="76"/>
      <c r="FUQ1364" s="76"/>
      <c r="FUR1364" s="76"/>
      <c r="FUS1364" s="76"/>
      <c r="FUT1364" s="76"/>
      <c r="FUU1364" s="76"/>
      <c r="FUV1364" s="76"/>
      <c r="FUW1364" s="76"/>
      <c r="FUX1364" s="76"/>
      <c r="FUY1364" s="76"/>
      <c r="FUZ1364" s="76"/>
      <c r="FVA1364" s="76"/>
      <c r="FVB1364" s="76"/>
      <c r="FVC1364" s="76"/>
      <c r="FVD1364" s="76"/>
      <c r="FVE1364" s="76"/>
      <c r="FVF1364" s="76"/>
      <c r="FVG1364" s="76"/>
      <c r="FVH1364" s="76"/>
      <c r="FVI1364" s="76"/>
      <c r="FVJ1364" s="76"/>
      <c r="FVK1364" s="76"/>
      <c r="FVL1364" s="76"/>
      <c r="FVM1364" s="76"/>
      <c r="FVN1364" s="76"/>
      <c r="FVO1364" s="76"/>
      <c r="FVP1364" s="76"/>
      <c r="FVQ1364" s="76"/>
      <c r="FVR1364" s="76"/>
      <c r="FVS1364" s="76"/>
      <c r="FVT1364" s="76"/>
      <c r="FVU1364" s="76"/>
      <c r="FVV1364" s="76"/>
      <c r="FVW1364" s="76"/>
      <c r="FVX1364" s="76"/>
      <c r="FVY1364" s="76"/>
      <c r="FVZ1364" s="76"/>
      <c r="FWA1364" s="76"/>
      <c r="FWB1364" s="76"/>
      <c r="FWC1364" s="76"/>
      <c r="FWD1364" s="76"/>
      <c r="FWE1364" s="76"/>
      <c r="FWF1364" s="76"/>
      <c r="FWG1364" s="76"/>
      <c r="FWH1364" s="76"/>
      <c r="FWI1364" s="76"/>
      <c r="FWJ1364" s="76"/>
      <c r="FWK1364" s="76"/>
      <c r="FWL1364" s="76"/>
      <c r="FWM1364" s="76"/>
      <c r="FWN1364" s="76"/>
      <c r="FWO1364" s="76"/>
      <c r="FWP1364" s="76"/>
      <c r="FWQ1364" s="76"/>
      <c r="FWR1364" s="76"/>
      <c r="FWS1364" s="76"/>
      <c r="FWT1364" s="76"/>
      <c r="FWU1364" s="76"/>
      <c r="FWV1364" s="76"/>
      <c r="FWW1364" s="76"/>
      <c r="FWX1364" s="76"/>
      <c r="FWY1364" s="76"/>
      <c r="FWZ1364" s="76"/>
      <c r="FXA1364" s="76"/>
      <c r="FXB1364" s="76"/>
      <c r="FXC1364" s="76"/>
      <c r="FXD1364" s="76"/>
      <c r="FXE1364" s="76"/>
      <c r="FXF1364" s="76"/>
      <c r="FXG1364" s="76"/>
      <c r="FXH1364" s="76"/>
      <c r="FXI1364" s="76"/>
      <c r="FXJ1364" s="76"/>
      <c r="FXK1364" s="76"/>
      <c r="FXL1364" s="76"/>
      <c r="FXM1364" s="76"/>
      <c r="FXN1364" s="76"/>
      <c r="FXO1364" s="76"/>
      <c r="FXP1364" s="76"/>
      <c r="FXQ1364" s="76"/>
      <c r="FXR1364" s="76"/>
      <c r="FXS1364" s="76"/>
      <c r="FXT1364" s="76"/>
      <c r="FXU1364" s="76"/>
      <c r="FXV1364" s="76"/>
      <c r="FXW1364" s="76"/>
      <c r="FXX1364" s="76"/>
      <c r="FXY1364" s="76"/>
      <c r="FXZ1364" s="76"/>
      <c r="FYA1364" s="76"/>
      <c r="FYB1364" s="76"/>
      <c r="FYC1364" s="76"/>
      <c r="FYD1364" s="76"/>
      <c r="FYE1364" s="76"/>
      <c r="FYF1364" s="76"/>
      <c r="FYG1364" s="76"/>
      <c r="FYH1364" s="76"/>
      <c r="FYI1364" s="76"/>
      <c r="FYJ1364" s="76"/>
      <c r="FYK1364" s="76"/>
      <c r="FYL1364" s="76"/>
      <c r="FYM1364" s="76"/>
      <c r="FYN1364" s="76"/>
      <c r="FYO1364" s="76"/>
      <c r="FYP1364" s="76"/>
      <c r="FYQ1364" s="76"/>
      <c r="FYR1364" s="76"/>
      <c r="FYS1364" s="76"/>
      <c r="FYT1364" s="76"/>
      <c r="FYU1364" s="76"/>
      <c r="FYV1364" s="76"/>
      <c r="FYW1364" s="76"/>
      <c r="FYX1364" s="76"/>
      <c r="FYY1364" s="76"/>
      <c r="FYZ1364" s="76"/>
      <c r="FZA1364" s="76"/>
      <c r="FZB1364" s="76"/>
      <c r="FZC1364" s="76"/>
      <c r="FZD1364" s="76"/>
      <c r="FZE1364" s="76"/>
      <c r="FZF1364" s="76"/>
      <c r="FZG1364" s="76"/>
      <c r="FZH1364" s="76"/>
      <c r="FZI1364" s="76"/>
      <c r="FZJ1364" s="76"/>
      <c r="FZK1364" s="76"/>
      <c r="FZL1364" s="76"/>
      <c r="FZM1364" s="76"/>
      <c r="FZN1364" s="76"/>
      <c r="FZO1364" s="76"/>
      <c r="FZP1364" s="76"/>
      <c r="FZQ1364" s="76"/>
      <c r="FZR1364" s="76"/>
      <c r="FZS1364" s="76"/>
      <c r="FZT1364" s="76"/>
      <c r="FZU1364" s="76"/>
      <c r="FZV1364" s="76"/>
      <c r="FZW1364" s="76"/>
      <c r="FZX1364" s="76"/>
      <c r="FZY1364" s="76"/>
      <c r="FZZ1364" s="76"/>
      <c r="GAA1364" s="76"/>
      <c r="GAB1364" s="76"/>
      <c r="GAC1364" s="76"/>
      <c r="GAD1364" s="76"/>
      <c r="GAE1364" s="76"/>
      <c r="GAF1364" s="76"/>
      <c r="GAG1364" s="76"/>
      <c r="GAH1364" s="76"/>
      <c r="GAI1364" s="76"/>
      <c r="GAJ1364" s="76"/>
      <c r="GAK1364" s="76"/>
      <c r="GAL1364" s="76"/>
      <c r="GAM1364" s="76"/>
      <c r="GAN1364" s="76"/>
      <c r="GAO1364" s="76"/>
      <c r="GAP1364" s="76"/>
      <c r="GAQ1364" s="76"/>
      <c r="GAR1364" s="76"/>
      <c r="GAS1364" s="76"/>
      <c r="GAT1364" s="76"/>
      <c r="GAU1364" s="76"/>
      <c r="GAV1364" s="76"/>
      <c r="GAW1364" s="76"/>
      <c r="GAX1364" s="76"/>
      <c r="GAY1364" s="76"/>
      <c r="GAZ1364" s="76"/>
      <c r="GBA1364" s="76"/>
      <c r="GBB1364" s="76"/>
      <c r="GBC1364" s="76"/>
      <c r="GBD1364" s="76"/>
      <c r="GBE1364" s="76"/>
      <c r="GBF1364" s="76"/>
      <c r="GBG1364" s="76"/>
      <c r="GBH1364" s="76"/>
      <c r="GBI1364" s="76"/>
      <c r="GBJ1364" s="76"/>
      <c r="GBK1364" s="76"/>
      <c r="GBL1364" s="76"/>
      <c r="GBM1364" s="76"/>
      <c r="GBN1364" s="76"/>
      <c r="GBO1364" s="76"/>
      <c r="GBP1364" s="76"/>
      <c r="GBQ1364" s="76"/>
      <c r="GBR1364" s="76"/>
      <c r="GBS1364" s="76"/>
      <c r="GBT1364" s="76"/>
      <c r="GBU1364" s="76"/>
      <c r="GBV1364" s="76"/>
      <c r="GBW1364" s="76"/>
      <c r="GBX1364" s="76"/>
      <c r="GBY1364" s="76"/>
      <c r="GBZ1364" s="76"/>
      <c r="GCA1364" s="76"/>
      <c r="GCB1364" s="76"/>
      <c r="GCC1364" s="76"/>
      <c r="GCD1364" s="76"/>
      <c r="GCE1364" s="76"/>
      <c r="GCF1364" s="76"/>
      <c r="GCG1364" s="76"/>
      <c r="GCH1364" s="76"/>
      <c r="GCI1364" s="76"/>
      <c r="GCJ1364" s="76"/>
      <c r="GCK1364" s="76"/>
      <c r="GCL1364" s="76"/>
      <c r="GCM1364" s="76"/>
      <c r="GCN1364" s="76"/>
      <c r="GCO1364" s="76"/>
      <c r="GCP1364" s="76"/>
      <c r="GCQ1364" s="76"/>
      <c r="GCR1364" s="76"/>
      <c r="GCS1364" s="76"/>
      <c r="GCT1364" s="76"/>
      <c r="GCU1364" s="76"/>
      <c r="GCV1364" s="76"/>
      <c r="GCW1364" s="76"/>
      <c r="GCX1364" s="76"/>
      <c r="GCY1364" s="76"/>
      <c r="GCZ1364" s="76"/>
      <c r="GDA1364" s="76"/>
      <c r="GDB1364" s="76"/>
      <c r="GDC1364" s="76"/>
      <c r="GDD1364" s="76"/>
      <c r="GDE1364" s="76"/>
      <c r="GDF1364" s="76"/>
      <c r="GDG1364" s="76"/>
      <c r="GDH1364" s="76"/>
      <c r="GDI1364" s="76"/>
      <c r="GDJ1364" s="76"/>
      <c r="GDK1364" s="76"/>
      <c r="GDL1364" s="76"/>
      <c r="GDM1364" s="76"/>
      <c r="GDN1364" s="76"/>
      <c r="GDO1364" s="76"/>
      <c r="GDP1364" s="76"/>
      <c r="GDQ1364" s="76"/>
      <c r="GDR1364" s="76"/>
      <c r="GDS1364" s="76"/>
      <c r="GDT1364" s="76"/>
      <c r="GDU1364" s="76"/>
      <c r="GDV1364" s="76"/>
      <c r="GDW1364" s="76"/>
      <c r="GDX1364" s="76"/>
      <c r="GDY1364" s="76"/>
      <c r="GDZ1364" s="76"/>
      <c r="GEA1364" s="76"/>
      <c r="GEB1364" s="76"/>
      <c r="GEC1364" s="76"/>
      <c r="GED1364" s="76"/>
      <c r="GEE1364" s="76"/>
      <c r="GEF1364" s="76"/>
      <c r="GEG1364" s="50"/>
      <c r="GEH1364" s="76"/>
      <c r="GEI1364" s="76"/>
      <c r="GEJ1364" s="76"/>
      <c r="GEK1364" s="76"/>
      <c r="GEL1364" s="76"/>
      <c r="GEM1364" s="76"/>
      <c r="GEN1364" s="76"/>
      <c r="GEO1364" s="76"/>
      <c r="GEP1364" s="76"/>
      <c r="GEQ1364" s="76"/>
      <c r="GER1364" s="76"/>
      <c r="GES1364" s="76"/>
      <c r="GET1364" s="76"/>
      <c r="GEU1364" s="76"/>
      <c r="GEV1364" s="76"/>
      <c r="GEW1364" s="76"/>
      <c r="GEX1364" s="76"/>
      <c r="GEY1364" s="76"/>
      <c r="GEZ1364" s="76"/>
      <c r="GFA1364" s="76"/>
      <c r="GFB1364" s="76"/>
      <c r="GFC1364" s="76"/>
      <c r="GFD1364" s="76"/>
      <c r="GFE1364" s="76"/>
      <c r="GFF1364" s="76"/>
      <c r="GFG1364" s="76"/>
      <c r="GFH1364" s="76"/>
      <c r="GFI1364" s="76"/>
      <c r="GFJ1364" s="76"/>
      <c r="GFK1364" s="76"/>
      <c r="GFL1364" s="76"/>
      <c r="GFM1364" s="76"/>
      <c r="GFN1364" s="76"/>
      <c r="GFO1364" s="76"/>
      <c r="GFP1364" s="76"/>
      <c r="GFQ1364" s="76"/>
      <c r="GFR1364" s="76"/>
      <c r="GFS1364" s="76"/>
      <c r="GFT1364" s="76"/>
      <c r="GFU1364" s="76"/>
      <c r="GFV1364" s="76"/>
      <c r="GFW1364" s="76"/>
      <c r="GFX1364" s="76"/>
      <c r="GFY1364" s="76"/>
      <c r="GFZ1364" s="76"/>
      <c r="GGA1364" s="76"/>
      <c r="GGB1364" s="76"/>
      <c r="GGC1364" s="76"/>
      <c r="GGD1364" s="76"/>
      <c r="GGE1364" s="76"/>
      <c r="GGF1364" s="76"/>
      <c r="GGG1364" s="76"/>
      <c r="GGH1364" s="76"/>
      <c r="GGI1364" s="76"/>
      <c r="GGJ1364" s="76"/>
      <c r="GGK1364" s="76"/>
      <c r="GGL1364" s="76"/>
      <c r="GGM1364" s="76"/>
      <c r="GGN1364" s="76"/>
      <c r="GGO1364" s="76"/>
      <c r="GGP1364" s="76"/>
      <c r="GGQ1364" s="76"/>
      <c r="GGR1364" s="76"/>
      <c r="GGS1364" s="76"/>
      <c r="GGT1364" s="76"/>
      <c r="GGU1364" s="76"/>
      <c r="GGV1364" s="76"/>
      <c r="GGW1364" s="76"/>
      <c r="GGX1364" s="76"/>
      <c r="GGY1364" s="76"/>
      <c r="GGZ1364" s="76"/>
      <c r="GHA1364" s="76"/>
      <c r="GHB1364" s="76"/>
      <c r="GHC1364" s="76"/>
      <c r="GHD1364" s="76"/>
      <c r="GHE1364" s="76"/>
      <c r="GHF1364" s="76"/>
      <c r="GHG1364" s="76"/>
      <c r="GHH1364" s="76"/>
      <c r="GHI1364" s="76"/>
      <c r="GHJ1364" s="76"/>
      <c r="GHK1364" s="76"/>
      <c r="GHL1364" s="76"/>
      <c r="GHM1364" s="76"/>
      <c r="GHN1364" s="76"/>
      <c r="GHO1364" s="76"/>
      <c r="GHP1364" s="76"/>
      <c r="GHQ1364" s="76"/>
      <c r="GHR1364" s="76"/>
      <c r="GHS1364" s="76"/>
      <c r="GHT1364" s="76"/>
      <c r="GHU1364" s="76"/>
      <c r="GHV1364" s="76"/>
      <c r="GHW1364" s="76"/>
      <c r="GHX1364" s="76"/>
      <c r="GHY1364" s="76"/>
      <c r="GHZ1364" s="76"/>
      <c r="GIA1364" s="76"/>
      <c r="GIB1364" s="76"/>
      <c r="GIC1364" s="76"/>
      <c r="GID1364" s="76"/>
      <c r="GIE1364" s="76"/>
      <c r="GIF1364" s="76"/>
      <c r="GIG1364" s="76"/>
      <c r="GIH1364" s="76"/>
      <c r="GII1364" s="76"/>
      <c r="GIJ1364" s="76"/>
      <c r="GIK1364" s="76"/>
      <c r="GIL1364" s="76"/>
      <c r="GIM1364" s="76"/>
      <c r="GIN1364" s="76"/>
      <c r="GIO1364" s="76"/>
      <c r="GIP1364" s="76"/>
      <c r="GIQ1364" s="76"/>
      <c r="GIR1364" s="76"/>
      <c r="GIS1364" s="76"/>
      <c r="GIT1364" s="76"/>
      <c r="GIU1364" s="76"/>
      <c r="GIV1364" s="76"/>
      <c r="GIW1364" s="76"/>
      <c r="GIX1364" s="76"/>
      <c r="GIY1364" s="76"/>
      <c r="GIZ1364" s="76"/>
      <c r="GJA1364" s="76"/>
      <c r="GJB1364" s="76"/>
      <c r="GJC1364" s="76"/>
      <c r="GJD1364" s="76"/>
      <c r="GJE1364" s="76"/>
      <c r="GJF1364" s="76"/>
      <c r="GJG1364" s="76"/>
      <c r="GJH1364" s="76"/>
      <c r="GJI1364" s="76"/>
      <c r="GJJ1364" s="76"/>
      <c r="GJK1364" s="76"/>
      <c r="GJL1364" s="76"/>
      <c r="GJM1364" s="76"/>
      <c r="GJN1364" s="76"/>
      <c r="GJO1364" s="76"/>
      <c r="GJP1364" s="76"/>
      <c r="GJQ1364" s="76"/>
      <c r="GJR1364" s="76"/>
      <c r="GJS1364" s="76"/>
      <c r="GJT1364" s="76"/>
      <c r="GJU1364" s="76"/>
      <c r="GJV1364" s="76"/>
      <c r="GJW1364" s="76"/>
      <c r="GJX1364" s="76"/>
      <c r="GJY1364" s="76"/>
      <c r="GJZ1364" s="76"/>
      <c r="GKA1364" s="76"/>
      <c r="GKB1364" s="76"/>
      <c r="GKC1364" s="76"/>
      <c r="GKD1364" s="76"/>
      <c r="GKE1364" s="76"/>
      <c r="GKF1364" s="76"/>
      <c r="GKG1364" s="76"/>
      <c r="GKH1364" s="76"/>
      <c r="GKI1364" s="76"/>
      <c r="GKJ1364" s="76"/>
      <c r="GKK1364" s="76"/>
      <c r="GKL1364" s="76"/>
      <c r="GKM1364" s="76"/>
      <c r="GKN1364" s="76"/>
      <c r="GKO1364" s="76"/>
      <c r="GKP1364" s="76"/>
      <c r="GKQ1364" s="76"/>
      <c r="GKR1364" s="76"/>
      <c r="GKS1364" s="76"/>
      <c r="GKT1364" s="76"/>
      <c r="GKU1364" s="76"/>
      <c r="GKV1364" s="76"/>
      <c r="GKW1364" s="76"/>
      <c r="GKX1364" s="76"/>
      <c r="GKY1364" s="76"/>
      <c r="GKZ1364" s="76"/>
      <c r="GLA1364" s="76"/>
      <c r="GLB1364" s="76"/>
      <c r="GLC1364" s="76"/>
      <c r="GLD1364" s="76"/>
      <c r="GLE1364" s="76"/>
      <c r="GLF1364" s="76"/>
      <c r="GLG1364" s="76"/>
      <c r="GLH1364" s="76"/>
      <c r="GLI1364" s="76"/>
      <c r="GLJ1364" s="76"/>
      <c r="GLK1364" s="76"/>
      <c r="GLL1364" s="76"/>
      <c r="GLM1364" s="76"/>
      <c r="GLN1364" s="76"/>
      <c r="GLO1364" s="76"/>
      <c r="GLP1364" s="76"/>
      <c r="GLQ1364" s="76"/>
      <c r="GLR1364" s="76"/>
      <c r="GLS1364" s="76"/>
      <c r="GLT1364" s="76"/>
      <c r="GLU1364" s="76"/>
      <c r="GLV1364" s="76"/>
      <c r="GLW1364" s="76"/>
      <c r="GLX1364" s="76"/>
      <c r="GLY1364" s="76"/>
      <c r="GLZ1364" s="76"/>
      <c r="GMA1364" s="76"/>
      <c r="GMB1364" s="76"/>
      <c r="GMC1364" s="76"/>
      <c r="GMD1364" s="76"/>
      <c r="GME1364" s="76"/>
      <c r="GMF1364" s="76"/>
      <c r="GMG1364" s="76"/>
      <c r="GMH1364" s="76"/>
      <c r="GMI1364" s="76"/>
      <c r="GMJ1364" s="76"/>
      <c r="GMK1364" s="76"/>
      <c r="GML1364" s="76"/>
      <c r="GMM1364" s="76"/>
      <c r="GMN1364" s="76"/>
      <c r="GMO1364" s="76"/>
      <c r="GMP1364" s="76"/>
      <c r="GMQ1364" s="76"/>
      <c r="GMR1364" s="76"/>
      <c r="GMS1364" s="76"/>
      <c r="GMT1364" s="76"/>
      <c r="GMU1364" s="76"/>
      <c r="GMV1364" s="76"/>
      <c r="GMW1364" s="76"/>
      <c r="GMX1364" s="76"/>
      <c r="GMY1364" s="76"/>
      <c r="GMZ1364" s="76"/>
      <c r="GNA1364" s="76"/>
      <c r="GNB1364" s="76"/>
      <c r="GNC1364" s="76"/>
      <c r="GND1364" s="76"/>
      <c r="GNE1364" s="76"/>
      <c r="GNF1364" s="76"/>
      <c r="GNG1364" s="76"/>
      <c r="GNH1364" s="76"/>
      <c r="GNI1364" s="76"/>
      <c r="GNJ1364" s="76"/>
      <c r="GNK1364" s="76"/>
      <c r="GNL1364" s="76"/>
      <c r="GNM1364" s="76"/>
      <c r="GNN1364" s="76"/>
      <c r="GNO1364" s="76"/>
      <c r="GNP1364" s="76"/>
      <c r="GNQ1364" s="76"/>
      <c r="GNR1364" s="76"/>
      <c r="GNS1364" s="76"/>
      <c r="GNT1364" s="76"/>
      <c r="GNU1364" s="76"/>
      <c r="GNV1364" s="76"/>
      <c r="GNW1364" s="76"/>
      <c r="GNX1364" s="76"/>
      <c r="GNY1364" s="76"/>
      <c r="GNZ1364" s="76"/>
      <c r="GOA1364" s="76"/>
      <c r="GOB1364" s="76"/>
      <c r="GOC1364" s="50"/>
      <c r="GOD1364" s="76"/>
      <c r="GOE1364" s="76"/>
      <c r="GOF1364" s="76"/>
      <c r="GOG1364" s="76"/>
      <c r="GOH1364" s="76"/>
      <c r="GOI1364" s="76"/>
      <c r="GOJ1364" s="76"/>
      <c r="GOK1364" s="76"/>
      <c r="GOL1364" s="76"/>
      <c r="GOM1364" s="76"/>
      <c r="GON1364" s="76"/>
      <c r="GOO1364" s="76"/>
      <c r="GOP1364" s="76"/>
      <c r="GOQ1364" s="76"/>
      <c r="GOR1364" s="76"/>
      <c r="GOS1364" s="76"/>
      <c r="GOT1364" s="76"/>
      <c r="GOU1364" s="76"/>
      <c r="GOV1364" s="76"/>
      <c r="GOW1364" s="76"/>
      <c r="GOX1364" s="76"/>
      <c r="GOY1364" s="76"/>
      <c r="GOZ1364" s="76"/>
      <c r="GPA1364" s="76"/>
      <c r="GPB1364" s="76"/>
      <c r="GPC1364" s="76"/>
      <c r="GPD1364" s="76"/>
      <c r="GPE1364" s="76"/>
      <c r="GPF1364" s="76"/>
      <c r="GPG1364" s="76"/>
      <c r="GPH1364" s="76"/>
      <c r="GPI1364" s="76"/>
      <c r="GPJ1364" s="76"/>
      <c r="GPK1364" s="76"/>
      <c r="GPL1364" s="76"/>
      <c r="GPM1364" s="76"/>
      <c r="GPN1364" s="76"/>
      <c r="GPO1364" s="76"/>
      <c r="GPP1364" s="76"/>
      <c r="GPQ1364" s="76"/>
      <c r="GPR1364" s="76"/>
      <c r="GPS1364" s="76"/>
      <c r="GPT1364" s="76"/>
      <c r="GPU1364" s="76"/>
      <c r="GPV1364" s="76"/>
      <c r="GPW1364" s="76"/>
      <c r="GPX1364" s="76"/>
      <c r="GPY1364" s="76"/>
      <c r="GPZ1364" s="76"/>
      <c r="GQA1364" s="76"/>
      <c r="GQB1364" s="76"/>
      <c r="GQC1364" s="76"/>
      <c r="GQD1364" s="76"/>
      <c r="GQE1364" s="76"/>
      <c r="GQF1364" s="76"/>
      <c r="GQG1364" s="76"/>
      <c r="GQH1364" s="76"/>
      <c r="GQI1364" s="76"/>
      <c r="GQJ1364" s="76"/>
      <c r="GQK1364" s="76"/>
      <c r="GQL1364" s="76"/>
      <c r="GQM1364" s="76"/>
      <c r="GQN1364" s="76"/>
      <c r="GQO1364" s="76"/>
      <c r="GQP1364" s="76"/>
      <c r="GQQ1364" s="76"/>
      <c r="GQR1364" s="76"/>
      <c r="GQS1364" s="76"/>
      <c r="GQT1364" s="76"/>
      <c r="GQU1364" s="76"/>
      <c r="GQV1364" s="76"/>
      <c r="GQW1364" s="76"/>
      <c r="GQX1364" s="76"/>
      <c r="GQY1364" s="76"/>
      <c r="GQZ1364" s="76"/>
      <c r="GRA1364" s="76"/>
      <c r="GRB1364" s="76"/>
      <c r="GRC1364" s="76"/>
      <c r="GRD1364" s="76"/>
      <c r="GRE1364" s="76"/>
      <c r="GRF1364" s="76"/>
      <c r="GRG1364" s="76"/>
      <c r="GRH1364" s="76"/>
      <c r="GRI1364" s="76"/>
      <c r="GRJ1364" s="76"/>
      <c r="GRK1364" s="76"/>
      <c r="GRL1364" s="76"/>
      <c r="GRM1364" s="76"/>
      <c r="GRN1364" s="76"/>
      <c r="GRO1364" s="76"/>
      <c r="GRP1364" s="76"/>
      <c r="GRQ1364" s="76"/>
      <c r="GRR1364" s="76"/>
      <c r="GRS1364" s="76"/>
      <c r="GRT1364" s="76"/>
      <c r="GRU1364" s="76"/>
      <c r="GRV1364" s="76"/>
      <c r="GRW1364" s="76"/>
      <c r="GRX1364" s="76"/>
      <c r="GRY1364" s="76"/>
      <c r="GRZ1364" s="76"/>
      <c r="GSA1364" s="76"/>
      <c r="GSB1364" s="76"/>
      <c r="GSC1364" s="76"/>
      <c r="GSD1364" s="76"/>
      <c r="GSE1364" s="76"/>
      <c r="GSF1364" s="76"/>
      <c r="GSG1364" s="76"/>
      <c r="GSH1364" s="76"/>
      <c r="GSI1364" s="76"/>
      <c r="GSJ1364" s="76"/>
      <c r="GSK1364" s="76"/>
      <c r="GSL1364" s="76"/>
      <c r="GSM1364" s="76"/>
      <c r="GSN1364" s="76"/>
      <c r="GSO1364" s="76"/>
      <c r="GSP1364" s="76"/>
      <c r="GSQ1364" s="76"/>
      <c r="GSR1364" s="76"/>
      <c r="GSS1364" s="76"/>
      <c r="GST1364" s="76"/>
      <c r="GSU1364" s="76"/>
      <c r="GSV1364" s="76"/>
      <c r="GSW1364" s="76"/>
      <c r="GSX1364" s="76"/>
      <c r="GSY1364" s="76"/>
      <c r="GSZ1364" s="76"/>
      <c r="GTA1364" s="76"/>
      <c r="GTB1364" s="76"/>
      <c r="GTC1364" s="76"/>
      <c r="GTD1364" s="76"/>
      <c r="GTE1364" s="76"/>
      <c r="GTF1364" s="76"/>
      <c r="GTG1364" s="76"/>
      <c r="GTH1364" s="76"/>
      <c r="GTI1364" s="76"/>
      <c r="GTJ1364" s="76"/>
      <c r="GTK1364" s="76"/>
      <c r="GTL1364" s="76"/>
      <c r="GTM1364" s="76"/>
      <c r="GTN1364" s="76"/>
      <c r="GTO1364" s="76"/>
      <c r="GTP1364" s="76"/>
      <c r="GTQ1364" s="76"/>
      <c r="GTR1364" s="76"/>
      <c r="GTS1364" s="76"/>
      <c r="GTT1364" s="76"/>
      <c r="GTU1364" s="76"/>
      <c r="GTV1364" s="76"/>
      <c r="GTW1364" s="76"/>
      <c r="GTX1364" s="76"/>
      <c r="GTY1364" s="76"/>
      <c r="GTZ1364" s="76"/>
      <c r="GUA1364" s="76"/>
      <c r="GUB1364" s="76"/>
      <c r="GUC1364" s="76"/>
      <c r="GUD1364" s="76"/>
      <c r="GUE1364" s="76"/>
      <c r="GUF1364" s="76"/>
      <c r="GUG1364" s="76"/>
      <c r="GUH1364" s="76"/>
      <c r="GUI1364" s="76"/>
      <c r="GUJ1364" s="76"/>
      <c r="GUK1364" s="76"/>
      <c r="GUL1364" s="76"/>
      <c r="GUM1364" s="76"/>
      <c r="GUN1364" s="76"/>
      <c r="GUO1364" s="76"/>
      <c r="GUP1364" s="76"/>
      <c r="GUQ1364" s="76"/>
      <c r="GUR1364" s="76"/>
      <c r="GUS1364" s="76"/>
      <c r="GUT1364" s="76"/>
      <c r="GUU1364" s="76"/>
      <c r="GUV1364" s="76"/>
      <c r="GUW1364" s="76"/>
      <c r="GUX1364" s="76"/>
      <c r="GUY1364" s="76"/>
      <c r="GUZ1364" s="76"/>
      <c r="GVA1364" s="76"/>
      <c r="GVB1364" s="76"/>
      <c r="GVC1364" s="76"/>
      <c r="GVD1364" s="76"/>
      <c r="GVE1364" s="76"/>
      <c r="GVF1364" s="76"/>
      <c r="GVG1364" s="76"/>
      <c r="GVH1364" s="76"/>
      <c r="GVI1364" s="76"/>
      <c r="GVJ1364" s="76"/>
      <c r="GVK1364" s="76"/>
      <c r="GVL1364" s="76"/>
      <c r="GVM1364" s="76"/>
      <c r="GVN1364" s="76"/>
      <c r="GVO1364" s="76"/>
      <c r="GVP1364" s="76"/>
      <c r="GVQ1364" s="76"/>
      <c r="GVR1364" s="76"/>
      <c r="GVS1364" s="76"/>
      <c r="GVT1364" s="76"/>
      <c r="GVU1364" s="76"/>
      <c r="GVV1364" s="76"/>
      <c r="GVW1364" s="76"/>
      <c r="GVX1364" s="76"/>
      <c r="GVY1364" s="76"/>
      <c r="GVZ1364" s="76"/>
      <c r="GWA1364" s="76"/>
      <c r="GWB1364" s="76"/>
      <c r="GWC1364" s="76"/>
      <c r="GWD1364" s="76"/>
      <c r="GWE1364" s="76"/>
      <c r="GWF1364" s="76"/>
      <c r="GWG1364" s="76"/>
      <c r="GWH1364" s="76"/>
      <c r="GWI1364" s="76"/>
      <c r="GWJ1364" s="76"/>
      <c r="GWK1364" s="76"/>
      <c r="GWL1364" s="76"/>
      <c r="GWM1364" s="76"/>
      <c r="GWN1364" s="76"/>
      <c r="GWO1364" s="76"/>
      <c r="GWP1364" s="76"/>
      <c r="GWQ1364" s="76"/>
      <c r="GWR1364" s="76"/>
      <c r="GWS1364" s="76"/>
      <c r="GWT1364" s="76"/>
      <c r="GWU1364" s="76"/>
      <c r="GWV1364" s="76"/>
      <c r="GWW1364" s="76"/>
      <c r="GWX1364" s="76"/>
      <c r="GWY1364" s="76"/>
      <c r="GWZ1364" s="76"/>
      <c r="GXA1364" s="76"/>
      <c r="GXB1364" s="76"/>
      <c r="GXC1364" s="76"/>
      <c r="GXD1364" s="76"/>
      <c r="GXE1364" s="76"/>
      <c r="GXF1364" s="76"/>
      <c r="GXG1364" s="76"/>
      <c r="GXH1364" s="76"/>
      <c r="GXI1364" s="76"/>
      <c r="GXJ1364" s="76"/>
      <c r="GXK1364" s="76"/>
      <c r="GXL1364" s="76"/>
      <c r="GXM1364" s="76"/>
      <c r="GXN1364" s="76"/>
      <c r="GXO1364" s="76"/>
      <c r="GXP1364" s="76"/>
      <c r="GXQ1364" s="76"/>
      <c r="GXR1364" s="76"/>
      <c r="GXS1364" s="76"/>
      <c r="GXT1364" s="76"/>
      <c r="GXU1364" s="76"/>
      <c r="GXV1364" s="76"/>
      <c r="GXW1364" s="76"/>
      <c r="GXX1364" s="76"/>
      <c r="GXY1364" s="50"/>
      <c r="GXZ1364" s="76"/>
      <c r="GYA1364" s="76"/>
      <c r="GYB1364" s="76"/>
      <c r="GYC1364" s="76"/>
      <c r="GYD1364" s="76"/>
      <c r="GYE1364" s="76"/>
      <c r="GYF1364" s="76"/>
      <c r="GYG1364" s="76"/>
      <c r="GYH1364" s="76"/>
      <c r="GYI1364" s="76"/>
      <c r="GYJ1364" s="76"/>
      <c r="GYK1364" s="76"/>
      <c r="GYL1364" s="76"/>
      <c r="GYM1364" s="76"/>
      <c r="GYN1364" s="76"/>
      <c r="GYO1364" s="76"/>
      <c r="GYP1364" s="76"/>
      <c r="GYQ1364" s="76"/>
      <c r="GYR1364" s="76"/>
      <c r="GYS1364" s="76"/>
      <c r="GYT1364" s="76"/>
      <c r="GYU1364" s="76"/>
      <c r="GYV1364" s="76"/>
      <c r="GYW1364" s="76"/>
      <c r="GYX1364" s="76"/>
      <c r="GYY1364" s="76"/>
      <c r="GYZ1364" s="76"/>
      <c r="GZA1364" s="76"/>
      <c r="GZB1364" s="76"/>
      <c r="GZC1364" s="76"/>
      <c r="GZD1364" s="76"/>
      <c r="GZE1364" s="76"/>
      <c r="GZF1364" s="76"/>
      <c r="GZG1364" s="76"/>
      <c r="GZH1364" s="76"/>
      <c r="GZI1364" s="76"/>
      <c r="GZJ1364" s="76"/>
      <c r="GZK1364" s="76"/>
      <c r="GZL1364" s="76"/>
      <c r="GZM1364" s="76"/>
      <c r="GZN1364" s="76"/>
      <c r="GZO1364" s="76"/>
      <c r="GZP1364" s="76"/>
      <c r="GZQ1364" s="76"/>
      <c r="GZR1364" s="76"/>
      <c r="GZS1364" s="76"/>
      <c r="GZT1364" s="76"/>
      <c r="GZU1364" s="76"/>
      <c r="GZV1364" s="76"/>
      <c r="GZW1364" s="76"/>
      <c r="GZX1364" s="76"/>
      <c r="GZY1364" s="76"/>
      <c r="GZZ1364" s="76"/>
      <c r="HAA1364" s="76"/>
      <c r="HAB1364" s="76"/>
      <c r="HAC1364" s="76"/>
      <c r="HAD1364" s="76"/>
      <c r="HAE1364" s="76"/>
      <c r="HAF1364" s="76"/>
      <c r="HAG1364" s="76"/>
      <c r="HAH1364" s="76"/>
      <c r="HAI1364" s="76"/>
      <c r="HAJ1364" s="76"/>
      <c r="HAK1364" s="76"/>
      <c r="HAL1364" s="76"/>
      <c r="HAM1364" s="76"/>
      <c r="HAN1364" s="76"/>
      <c r="HAO1364" s="76"/>
      <c r="HAP1364" s="76"/>
      <c r="HAQ1364" s="76"/>
      <c r="HAR1364" s="76"/>
      <c r="HAS1364" s="76"/>
      <c r="HAT1364" s="76"/>
      <c r="HAU1364" s="76"/>
      <c r="HAV1364" s="76"/>
      <c r="HAW1364" s="76"/>
      <c r="HAX1364" s="76"/>
      <c r="HAY1364" s="76"/>
      <c r="HAZ1364" s="76"/>
      <c r="HBA1364" s="76"/>
      <c r="HBB1364" s="76"/>
      <c r="HBC1364" s="76"/>
      <c r="HBD1364" s="76"/>
      <c r="HBE1364" s="76"/>
      <c r="HBF1364" s="76"/>
      <c r="HBG1364" s="76"/>
      <c r="HBH1364" s="76"/>
      <c r="HBI1364" s="76"/>
      <c r="HBJ1364" s="76"/>
      <c r="HBK1364" s="76"/>
      <c r="HBL1364" s="76"/>
      <c r="HBM1364" s="76"/>
      <c r="HBN1364" s="76"/>
      <c r="HBO1364" s="76"/>
      <c r="HBP1364" s="76"/>
      <c r="HBQ1364" s="76"/>
      <c r="HBR1364" s="76"/>
      <c r="HBS1364" s="76"/>
      <c r="HBT1364" s="76"/>
      <c r="HBU1364" s="76"/>
      <c r="HBV1364" s="76"/>
      <c r="HBW1364" s="76"/>
      <c r="HBX1364" s="76"/>
      <c r="HBY1364" s="76"/>
      <c r="HBZ1364" s="76"/>
      <c r="HCA1364" s="76"/>
      <c r="HCB1364" s="76"/>
      <c r="HCC1364" s="76"/>
      <c r="HCD1364" s="76"/>
      <c r="HCE1364" s="76"/>
      <c r="HCF1364" s="76"/>
      <c r="HCG1364" s="76"/>
      <c r="HCH1364" s="76"/>
      <c r="HCI1364" s="76"/>
      <c r="HCJ1364" s="76"/>
      <c r="HCK1364" s="76"/>
      <c r="HCL1364" s="76"/>
      <c r="HCM1364" s="76"/>
      <c r="HCN1364" s="76"/>
      <c r="HCO1364" s="76"/>
      <c r="HCP1364" s="76"/>
      <c r="HCQ1364" s="76"/>
      <c r="HCR1364" s="76"/>
      <c r="HCS1364" s="76"/>
      <c r="HCT1364" s="76"/>
      <c r="HCU1364" s="76"/>
      <c r="HCV1364" s="76"/>
      <c r="HCW1364" s="76"/>
      <c r="HCX1364" s="76"/>
      <c r="HCY1364" s="76"/>
      <c r="HCZ1364" s="76"/>
      <c r="HDA1364" s="76"/>
      <c r="HDB1364" s="76"/>
      <c r="HDC1364" s="76"/>
      <c r="HDD1364" s="76"/>
      <c r="HDE1364" s="76"/>
      <c r="HDF1364" s="76"/>
      <c r="HDG1364" s="76"/>
      <c r="HDH1364" s="76"/>
      <c r="HDI1364" s="76"/>
      <c r="HDJ1364" s="76"/>
      <c r="HDK1364" s="76"/>
      <c r="HDL1364" s="76"/>
      <c r="HDM1364" s="76"/>
      <c r="HDN1364" s="76"/>
      <c r="HDO1364" s="76"/>
      <c r="HDP1364" s="76"/>
      <c r="HDQ1364" s="76"/>
      <c r="HDR1364" s="76"/>
      <c r="HDS1364" s="76"/>
      <c r="HDT1364" s="76"/>
      <c r="HDU1364" s="76"/>
      <c r="HDV1364" s="76"/>
      <c r="HDW1364" s="76"/>
      <c r="HDX1364" s="76"/>
      <c r="HDY1364" s="76"/>
      <c r="HDZ1364" s="76"/>
      <c r="HEA1364" s="76"/>
      <c r="HEB1364" s="76"/>
      <c r="HEC1364" s="76"/>
      <c r="HED1364" s="76"/>
      <c r="HEE1364" s="76"/>
      <c r="HEF1364" s="76"/>
      <c r="HEG1364" s="76"/>
      <c r="HEH1364" s="76"/>
      <c r="HEI1364" s="76"/>
      <c r="HEJ1364" s="76"/>
      <c r="HEK1364" s="76"/>
      <c r="HEL1364" s="76"/>
      <c r="HEM1364" s="76"/>
      <c r="HEN1364" s="76"/>
      <c r="HEO1364" s="76"/>
      <c r="HEP1364" s="76"/>
      <c r="HEQ1364" s="76"/>
      <c r="HER1364" s="76"/>
      <c r="HES1364" s="76"/>
      <c r="HET1364" s="76"/>
      <c r="HEU1364" s="76"/>
      <c r="HEV1364" s="76"/>
      <c r="HEW1364" s="76"/>
      <c r="HEX1364" s="76"/>
      <c r="HEY1364" s="76"/>
      <c r="HEZ1364" s="76"/>
      <c r="HFA1364" s="76"/>
      <c r="HFB1364" s="76"/>
      <c r="HFC1364" s="76"/>
      <c r="HFD1364" s="76"/>
      <c r="HFE1364" s="76"/>
      <c r="HFF1364" s="76"/>
      <c r="HFG1364" s="76"/>
      <c r="HFH1364" s="76"/>
      <c r="HFI1364" s="76"/>
      <c r="HFJ1364" s="76"/>
      <c r="HFK1364" s="76"/>
      <c r="HFL1364" s="76"/>
      <c r="HFM1364" s="76"/>
      <c r="HFN1364" s="76"/>
      <c r="HFO1364" s="76"/>
      <c r="HFP1364" s="76"/>
      <c r="HFQ1364" s="76"/>
      <c r="HFR1364" s="76"/>
      <c r="HFS1364" s="76"/>
      <c r="HFT1364" s="76"/>
      <c r="HFU1364" s="76"/>
      <c r="HFV1364" s="76"/>
      <c r="HFW1364" s="76"/>
      <c r="HFX1364" s="76"/>
      <c r="HFY1364" s="76"/>
      <c r="HFZ1364" s="76"/>
      <c r="HGA1364" s="76"/>
      <c r="HGB1364" s="76"/>
      <c r="HGC1364" s="76"/>
      <c r="HGD1364" s="76"/>
      <c r="HGE1364" s="76"/>
      <c r="HGF1364" s="76"/>
      <c r="HGG1364" s="76"/>
      <c r="HGH1364" s="76"/>
      <c r="HGI1364" s="76"/>
      <c r="HGJ1364" s="76"/>
      <c r="HGK1364" s="76"/>
      <c r="HGL1364" s="76"/>
      <c r="HGM1364" s="76"/>
      <c r="HGN1364" s="76"/>
      <c r="HGO1364" s="76"/>
      <c r="HGP1364" s="76"/>
      <c r="HGQ1364" s="76"/>
      <c r="HGR1364" s="76"/>
      <c r="HGS1364" s="76"/>
      <c r="HGT1364" s="76"/>
      <c r="HGU1364" s="76"/>
      <c r="HGV1364" s="76"/>
      <c r="HGW1364" s="76"/>
      <c r="HGX1364" s="76"/>
      <c r="HGY1364" s="76"/>
      <c r="HGZ1364" s="76"/>
      <c r="HHA1364" s="76"/>
      <c r="HHB1364" s="76"/>
      <c r="HHC1364" s="76"/>
      <c r="HHD1364" s="76"/>
      <c r="HHE1364" s="76"/>
      <c r="HHF1364" s="76"/>
      <c r="HHG1364" s="76"/>
      <c r="HHH1364" s="76"/>
      <c r="HHI1364" s="76"/>
      <c r="HHJ1364" s="76"/>
      <c r="HHK1364" s="76"/>
      <c r="HHL1364" s="76"/>
      <c r="HHM1364" s="76"/>
      <c r="HHN1364" s="76"/>
      <c r="HHO1364" s="76"/>
      <c r="HHP1364" s="76"/>
      <c r="HHQ1364" s="76"/>
      <c r="HHR1364" s="76"/>
      <c r="HHS1364" s="76"/>
      <c r="HHT1364" s="76"/>
      <c r="HHU1364" s="50"/>
      <c r="HHV1364" s="76"/>
      <c r="HHW1364" s="76"/>
      <c r="HHX1364" s="76"/>
      <c r="HHY1364" s="76"/>
      <c r="HHZ1364" s="76"/>
      <c r="HIA1364" s="76"/>
      <c r="HIB1364" s="76"/>
      <c r="HIC1364" s="76"/>
      <c r="HID1364" s="76"/>
      <c r="HIE1364" s="76"/>
      <c r="HIF1364" s="76"/>
      <c r="HIG1364" s="76"/>
      <c r="HIH1364" s="76"/>
      <c r="HII1364" s="76"/>
      <c r="HIJ1364" s="76"/>
      <c r="HIK1364" s="76"/>
      <c r="HIL1364" s="76"/>
      <c r="HIM1364" s="76"/>
      <c r="HIN1364" s="76"/>
      <c r="HIO1364" s="76"/>
      <c r="HIP1364" s="76"/>
      <c r="HIQ1364" s="76"/>
      <c r="HIR1364" s="76"/>
      <c r="HIS1364" s="76"/>
      <c r="HIT1364" s="76"/>
      <c r="HIU1364" s="76"/>
      <c r="HIV1364" s="76"/>
      <c r="HIW1364" s="76"/>
      <c r="HIX1364" s="76"/>
      <c r="HIY1364" s="76"/>
      <c r="HIZ1364" s="76"/>
      <c r="HJA1364" s="76"/>
      <c r="HJB1364" s="76"/>
      <c r="HJC1364" s="76"/>
      <c r="HJD1364" s="76"/>
      <c r="HJE1364" s="76"/>
      <c r="HJF1364" s="76"/>
      <c r="HJG1364" s="76"/>
      <c r="HJH1364" s="76"/>
      <c r="HJI1364" s="76"/>
      <c r="HJJ1364" s="76"/>
      <c r="HJK1364" s="76"/>
      <c r="HJL1364" s="76"/>
      <c r="HJM1364" s="76"/>
      <c r="HJN1364" s="76"/>
      <c r="HJO1364" s="76"/>
      <c r="HJP1364" s="76"/>
      <c r="HJQ1364" s="76"/>
      <c r="HJR1364" s="76"/>
      <c r="HJS1364" s="76"/>
      <c r="HJT1364" s="76"/>
      <c r="HJU1364" s="76"/>
      <c r="HJV1364" s="76"/>
      <c r="HJW1364" s="76"/>
      <c r="HJX1364" s="76"/>
      <c r="HJY1364" s="76"/>
      <c r="HJZ1364" s="76"/>
      <c r="HKA1364" s="76"/>
      <c r="HKB1364" s="76"/>
      <c r="HKC1364" s="76"/>
      <c r="HKD1364" s="76"/>
      <c r="HKE1364" s="76"/>
      <c r="HKF1364" s="76"/>
      <c r="HKG1364" s="76"/>
      <c r="HKH1364" s="76"/>
      <c r="HKI1364" s="76"/>
      <c r="HKJ1364" s="76"/>
      <c r="HKK1364" s="76"/>
      <c r="HKL1364" s="76"/>
      <c r="HKM1364" s="76"/>
      <c r="HKN1364" s="76"/>
      <c r="HKO1364" s="76"/>
      <c r="HKP1364" s="76"/>
      <c r="HKQ1364" s="76"/>
      <c r="HKR1364" s="76"/>
      <c r="HKS1364" s="76"/>
      <c r="HKT1364" s="76"/>
      <c r="HKU1364" s="76"/>
      <c r="HKV1364" s="76"/>
      <c r="HKW1364" s="76"/>
      <c r="HKX1364" s="76"/>
      <c r="HKY1364" s="76"/>
      <c r="HKZ1364" s="76"/>
      <c r="HLA1364" s="76"/>
      <c r="HLB1364" s="76"/>
      <c r="HLC1364" s="76"/>
      <c r="HLD1364" s="76"/>
      <c r="HLE1364" s="76"/>
      <c r="HLF1364" s="76"/>
      <c r="HLG1364" s="76"/>
      <c r="HLH1364" s="76"/>
      <c r="HLI1364" s="76"/>
      <c r="HLJ1364" s="76"/>
      <c r="HLK1364" s="76"/>
      <c r="HLL1364" s="76"/>
      <c r="HLM1364" s="76"/>
      <c r="HLN1364" s="76"/>
      <c r="HLO1364" s="76"/>
      <c r="HLP1364" s="76"/>
      <c r="HLQ1364" s="76"/>
      <c r="HLR1364" s="76"/>
      <c r="HLS1364" s="76"/>
      <c r="HLT1364" s="76"/>
      <c r="HLU1364" s="76"/>
      <c r="HLV1364" s="76"/>
      <c r="HLW1364" s="76"/>
      <c r="HLX1364" s="76"/>
      <c r="HLY1364" s="76"/>
      <c r="HLZ1364" s="76"/>
      <c r="HMA1364" s="76"/>
      <c r="HMB1364" s="76"/>
      <c r="HMC1364" s="76"/>
      <c r="HMD1364" s="76"/>
      <c r="HME1364" s="76"/>
      <c r="HMF1364" s="76"/>
      <c r="HMG1364" s="76"/>
      <c r="HMH1364" s="76"/>
      <c r="HMI1364" s="76"/>
      <c r="HMJ1364" s="76"/>
      <c r="HMK1364" s="76"/>
      <c r="HML1364" s="76"/>
      <c r="HMM1364" s="76"/>
      <c r="HMN1364" s="76"/>
      <c r="HMO1364" s="76"/>
      <c r="HMP1364" s="76"/>
      <c r="HMQ1364" s="76"/>
      <c r="HMR1364" s="76"/>
      <c r="HMS1364" s="76"/>
      <c r="HMT1364" s="76"/>
      <c r="HMU1364" s="76"/>
      <c r="HMV1364" s="76"/>
      <c r="HMW1364" s="76"/>
      <c r="HMX1364" s="76"/>
      <c r="HMY1364" s="76"/>
      <c r="HMZ1364" s="76"/>
      <c r="HNA1364" s="76"/>
      <c r="HNB1364" s="76"/>
      <c r="HNC1364" s="76"/>
      <c r="HND1364" s="76"/>
      <c r="HNE1364" s="76"/>
      <c r="HNF1364" s="76"/>
      <c r="HNG1364" s="76"/>
      <c r="HNH1364" s="76"/>
      <c r="HNI1364" s="76"/>
      <c r="HNJ1364" s="76"/>
      <c r="HNK1364" s="76"/>
      <c r="HNL1364" s="76"/>
      <c r="HNM1364" s="76"/>
      <c r="HNN1364" s="76"/>
      <c r="HNO1364" s="76"/>
      <c r="HNP1364" s="76"/>
      <c r="HNQ1364" s="76"/>
      <c r="HNR1364" s="76"/>
      <c r="HNS1364" s="76"/>
      <c r="HNT1364" s="76"/>
      <c r="HNU1364" s="76"/>
      <c r="HNV1364" s="76"/>
      <c r="HNW1364" s="76"/>
      <c r="HNX1364" s="76"/>
      <c r="HNY1364" s="76"/>
      <c r="HNZ1364" s="76"/>
      <c r="HOA1364" s="76"/>
      <c r="HOB1364" s="76"/>
      <c r="HOC1364" s="76"/>
      <c r="HOD1364" s="76"/>
      <c r="HOE1364" s="76"/>
      <c r="HOF1364" s="76"/>
      <c r="HOG1364" s="76"/>
      <c r="HOH1364" s="76"/>
      <c r="HOI1364" s="76"/>
      <c r="HOJ1364" s="76"/>
      <c r="HOK1364" s="76"/>
      <c r="HOL1364" s="76"/>
      <c r="HOM1364" s="76"/>
      <c r="HON1364" s="76"/>
      <c r="HOO1364" s="76"/>
      <c r="HOP1364" s="76"/>
      <c r="HOQ1364" s="76"/>
      <c r="HOR1364" s="76"/>
      <c r="HOS1364" s="76"/>
      <c r="HOT1364" s="76"/>
      <c r="HOU1364" s="76"/>
      <c r="HOV1364" s="76"/>
      <c r="HOW1364" s="76"/>
      <c r="HOX1364" s="76"/>
      <c r="HOY1364" s="76"/>
      <c r="HOZ1364" s="76"/>
      <c r="HPA1364" s="76"/>
      <c r="HPB1364" s="76"/>
      <c r="HPC1364" s="76"/>
      <c r="HPD1364" s="76"/>
      <c r="HPE1364" s="76"/>
      <c r="HPF1364" s="76"/>
      <c r="HPG1364" s="76"/>
      <c r="HPH1364" s="76"/>
      <c r="HPI1364" s="76"/>
      <c r="HPJ1364" s="76"/>
      <c r="HPK1364" s="76"/>
      <c r="HPL1364" s="76"/>
      <c r="HPM1364" s="76"/>
      <c r="HPN1364" s="76"/>
      <c r="HPO1364" s="76"/>
      <c r="HPP1364" s="76"/>
      <c r="HPQ1364" s="76"/>
      <c r="HPR1364" s="76"/>
      <c r="HPS1364" s="76"/>
      <c r="HPT1364" s="76"/>
      <c r="HPU1364" s="76"/>
      <c r="HPV1364" s="76"/>
      <c r="HPW1364" s="76"/>
      <c r="HPX1364" s="76"/>
      <c r="HPY1364" s="76"/>
      <c r="HPZ1364" s="76"/>
      <c r="HQA1364" s="76"/>
      <c r="HQB1364" s="76"/>
      <c r="HQC1364" s="76"/>
      <c r="HQD1364" s="76"/>
      <c r="HQE1364" s="76"/>
      <c r="HQF1364" s="76"/>
      <c r="HQG1364" s="76"/>
      <c r="HQH1364" s="76"/>
      <c r="HQI1364" s="76"/>
      <c r="HQJ1364" s="76"/>
      <c r="HQK1364" s="76"/>
      <c r="HQL1364" s="76"/>
      <c r="HQM1364" s="76"/>
      <c r="HQN1364" s="76"/>
      <c r="HQO1364" s="76"/>
      <c r="HQP1364" s="76"/>
      <c r="HQQ1364" s="76"/>
      <c r="HQR1364" s="76"/>
      <c r="HQS1364" s="76"/>
      <c r="HQT1364" s="76"/>
      <c r="HQU1364" s="76"/>
      <c r="HQV1364" s="76"/>
      <c r="HQW1364" s="76"/>
      <c r="HQX1364" s="76"/>
      <c r="HQY1364" s="76"/>
      <c r="HQZ1364" s="76"/>
      <c r="HRA1364" s="76"/>
      <c r="HRB1364" s="76"/>
      <c r="HRC1364" s="76"/>
      <c r="HRD1364" s="76"/>
      <c r="HRE1364" s="76"/>
      <c r="HRF1364" s="76"/>
      <c r="HRG1364" s="76"/>
      <c r="HRH1364" s="76"/>
      <c r="HRI1364" s="76"/>
      <c r="HRJ1364" s="76"/>
      <c r="HRK1364" s="76"/>
      <c r="HRL1364" s="76"/>
      <c r="HRM1364" s="76"/>
      <c r="HRN1364" s="76"/>
      <c r="HRO1364" s="76"/>
      <c r="HRP1364" s="76"/>
      <c r="HRQ1364" s="50"/>
      <c r="HRR1364" s="76"/>
      <c r="HRS1364" s="76"/>
      <c r="HRT1364" s="76"/>
      <c r="HRU1364" s="76"/>
      <c r="HRV1364" s="76"/>
      <c r="HRW1364" s="76"/>
      <c r="HRX1364" s="76"/>
      <c r="HRY1364" s="76"/>
      <c r="HRZ1364" s="76"/>
      <c r="HSA1364" s="76"/>
      <c r="HSB1364" s="76"/>
      <c r="HSC1364" s="76"/>
      <c r="HSD1364" s="76"/>
      <c r="HSE1364" s="76"/>
      <c r="HSF1364" s="76"/>
      <c r="HSG1364" s="76"/>
      <c r="HSH1364" s="76"/>
      <c r="HSI1364" s="76"/>
      <c r="HSJ1364" s="76"/>
      <c r="HSK1364" s="76"/>
      <c r="HSL1364" s="76"/>
      <c r="HSM1364" s="76"/>
      <c r="HSN1364" s="76"/>
      <c r="HSO1364" s="76"/>
      <c r="HSP1364" s="76"/>
      <c r="HSQ1364" s="76"/>
      <c r="HSR1364" s="76"/>
      <c r="HSS1364" s="76"/>
      <c r="HST1364" s="76"/>
      <c r="HSU1364" s="76"/>
      <c r="HSV1364" s="76"/>
      <c r="HSW1364" s="76"/>
      <c r="HSX1364" s="76"/>
      <c r="HSY1364" s="76"/>
      <c r="HSZ1364" s="76"/>
      <c r="HTA1364" s="76"/>
      <c r="HTB1364" s="76"/>
      <c r="HTC1364" s="76"/>
      <c r="HTD1364" s="76"/>
      <c r="HTE1364" s="76"/>
      <c r="HTF1364" s="76"/>
      <c r="HTG1364" s="76"/>
      <c r="HTH1364" s="76"/>
      <c r="HTI1364" s="76"/>
      <c r="HTJ1364" s="76"/>
      <c r="HTK1364" s="76"/>
      <c r="HTL1364" s="76"/>
      <c r="HTM1364" s="76"/>
      <c r="HTN1364" s="76"/>
      <c r="HTO1364" s="76"/>
      <c r="HTP1364" s="76"/>
      <c r="HTQ1364" s="76"/>
      <c r="HTR1364" s="76"/>
      <c r="HTS1364" s="76"/>
      <c r="HTT1364" s="76"/>
      <c r="HTU1364" s="76"/>
      <c r="HTV1364" s="76"/>
      <c r="HTW1364" s="76"/>
      <c r="HTX1364" s="76"/>
      <c r="HTY1364" s="76"/>
      <c r="HTZ1364" s="76"/>
      <c r="HUA1364" s="76"/>
      <c r="HUB1364" s="76"/>
      <c r="HUC1364" s="76"/>
      <c r="HUD1364" s="76"/>
      <c r="HUE1364" s="76"/>
      <c r="HUF1364" s="76"/>
      <c r="HUG1364" s="76"/>
      <c r="HUH1364" s="76"/>
      <c r="HUI1364" s="76"/>
      <c r="HUJ1364" s="76"/>
      <c r="HUK1364" s="76"/>
      <c r="HUL1364" s="76"/>
      <c r="HUM1364" s="76"/>
      <c r="HUN1364" s="76"/>
      <c r="HUO1364" s="76"/>
      <c r="HUP1364" s="76"/>
      <c r="HUQ1364" s="76"/>
      <c r="HUR1364" s="76"/>
      <c r="HUS1364" s="76"/>
      <c r="HUT1364" s="76"/>
      <c r="HUU1364" s="76"/>
      <c r="HUV1364" s="76"/>
      <c r="HUW1364" s="76"/>
      <c r="HUX1364" s="76"/>
      <c r="HUY1364" s="76"/>
      <c r="HUZ1364" s="76"/>
      <c r="HVA1364" s="76"/>
      <c r="HVB1364" s="76"/>
      <c r="HVC1364" s="76"/>
      <c r="HVD1364" s="76"/>
      <c r="HVE1364" s="76"/>
      <c r="HVF1364" s="76"/>
      <c r="HVG1364" s="76"/>
      <c r="HVH1364" s="76"/>
      <c r="HVI1364" s="76"/>
      <c r="HVJ1364" s="76"/>
      <c r="HVK1364" s="76"/>
      <c r="HVL1364" s="76"/>
      <c r="HVM1364" s="76"/>
      <c r="HVN1364" s="76"/>
      <c r="HVO1364" s="76"/>
      <c r="HVP1364" s="76"/>
      <c r="HVQ1364" s="76"/>
      <c r="HVR1364" s="76"/>
      <c r="HVS1364" s="76"/>
      <c r="HVT1364" s="76"/>
      <c r="HVU1364" s="76"/>
      <c r="HVV1364" s="76"/>
      <c r="HVW1364" s="76"/>
      <c r="HVX1364" s="76"/>
      <c r="HVY1364" s="76"/>
      <c r="HVZ1364" s="76"/>
      <c r="HWA1364" s="76"/>
      <c r="HWB1364" s="76"/>
      <c r="HWC1364" s="76"/>
      <c r="HWD1364" s="76"/>
      <c r="HWE1364" s="76"/>
      <c r="HWF1364" s="76"/>
      <c r="HWG1364" s="76"/>
      <c r="HWH1364" s="76"/>
      <c r="HWI1364" s="76"/>
      <c r="HWJ1364" s="76"/>
      <c r="HWK1364" s="76"/>
      <c r="HWL1364" s="76"/>
      <c r="HWM1364" s="76"/>
      <c r="HWN1364" s="76"/>
      <c r="HWO1364" s="76"/>
      <c r="HWP1364" s="76"/>
      <c r="HWQ1364" s="76"/>
      <c r="HWR1364" s="76"/>
      <c r="HWS1364" s="76"/>
      <c r="HWT1364" s="76"/>
      <c r="HWU1364" s="76"/>
      <c r="HWV1364" s="76"/>
      <c r="HWW1364" s="76"/>
      <c r="HWX1364" s="76"/>
      <c r="HWY1364" s="76"/>
      <c r="HWZ1364" s="76"/>
      <c r="HXA1364" s="76"/>
      <c r="HXB1364" s="76"/>
      <c r="HXC1364" s="76"/>
      <c r="HXD1364" s="76"/>
      <c r="HXE1364" s="76"/>
      <c r="HXF1364" s="76"/>
      <c r="HXG1364" s="76"/>
      <c r="HXH1364" s="76"/>
      <c r="HXI1364" s="76"/>
      <c r="HXJ1364" s="76"/>
      <c r="HXK1364" s="76"/>
      <c r="HXL1364" s="76"/>
      <c r="HXM1364" s="76"/>
      <c r="HXN1364" s="76"/>
      <c r="HXO1364" s="76"/>
      <c r="HXP1364" s="76"/>
      <c r="HXQ1364" s="76"/>
      <c r="HXR1364" s="76"/>
      <c r="HXS1364" s="76"/>
      <c r="HXT1364" s="76"/>
      <c r="HXU1364" s="76"/>
      <c r="HXV1364" s="76"/>
      <c r="HXW1364" s="76"/>
      <c r="HXX1364" s="76"/>
      <c r="HXY1364" s="76"/>
      <c r="HXZ1364" s="76"/>
      <c r="HYA1364" s="76"/>
      <c r="HYB1364" s="76"/>
      <c r="HYC1364" s="76"/>
      <c r="HYD1364" s="76"/>
      <c r="HYE1364" s="76"/>
      <c r="HYF1364" s="76"/>
      <c r="HYG1364" s="76"/>
      <c r="HYH1364" s="76"/>
      <c r="HYI1364" s="76"/>
      <c r="HYJ1364" s="76"/>
      <c r="HYK1364" s="76"/>
      <c r="HYL1364" s="76"/>
      <c r="HYM1364" s="76"/>
      <c r="HYN1364" s="76"/>
      <c r="HYO1364" s="76"/>
      <c r="HYP1364" s="76"/>
      <c r="HYQ1364" s="76"/>
      <c r="HYR1364" s="76"/>
      <c r="HYS1364" s="76"/>
      <c r="HYT1364" s="76"/>
      <c r="HYU1364" s="76"/>
      <c r="HYV1364" s="76"/>
      <c r="HYW1364" s="76"/>
      <c r="HYX1364" s="76"/>
      <c r="HYY1364" s="76"/>
      <c r="HYZ1364" s="76"/>
      <c r="HZA1364" s="76"/>
      <c r="HZB1364" s="76"/>
      <c r="HZC1364" s="76"/>
      <c r="HZD1364" s="76"/>
      <c r="HZE1364" s="76"/>
      <c r="HZF1364" s="76"/>
      <c r="HZG1364" s="76"/>
      <c r="HZH1364" s="76"/>
      <c r="HZI1364" s="76"/>
      <c r="HZJ1364" s="76"/>
      <c r="HZK1364" s="76"/>
      <c r="HZL1364" s="76"/>
      <c r="HZM1364" s="76"/>
      <c r="HZN1364" s="76"/>
      <c r="HZO1364" s="76"/>
      <c r="HZP1364" s="76"/>
      <c r="HZQ1364" s="76"/>
      <c r="HZR1364" s="76"/>
      <c r="HZS1364" s="76"/>
      <c r="HZT1364" s="76"/>
      <c r="HZU1364" s="76"/>
      <c r="HZV1364" s="76"/>
      <c r="HZW1364" s="76"/>
      <c r="HZX1364" s="76"/>
      <c r="HZY1364" s="76"/>
      <c r="HZZ1364" s="76"/>
      <c r="IAA1364" s="76"/>
      <c r="IAB1364" s="76"/>
      <c r="IAC1364" s="76"/>
      <c r="IAD1364" s="76"/>
      <c r="IAE1364" s="76"/>
      <c r="IAF1364" s="76"/>
      <c r="IAG1364" s="76"/>
      <c r="IAH1364" s="76"/>
      <c r="IAI1364" s="76"/>
      <c r="IAJ1364" s="76"/>
      <c r="IAK1364" s="76"/>
      <c r="IAL1364" s="76"/>
      <c r="IAM1364" s="76"/>
      <c r="IAN1364" s="76"/>
      <c r="IAO1364" s="76"/>
      <c r="IAP1364" s="76"/>
      <c r="IAQ1364" s="76"/>
      <c r="IAR1364" s="76"/>
      <c r="IAS1364" s="76"/>
      <c r="IAT1364" s="76"/>
      <c r="IAU1364" s="76"/>
      <c r="IAV1364" s="76"/>
      <c r="IAW1364" s="76"/>
      <c r="IAX1364" s="76"/>
      <c r="IAY1364" s="76"/>
      <c r="IAZ1364" s="76"/>
      <c r="IBA1364" s="76"/>
      <c r="IBB1364" s="76"/>
      <c r="IBC1364" s="76"/>
      <c r="IBD1364" s="76"/>
      <c r="IBE1364" s="76"/>
      <c r="IBF1364" s="76"/>
      <c r="IBG1364" s="76"/>
      <c r="IBH1364" s="76"/>
      <c r="IBI1364" s="76"/>
      <c r="IBJ1364" s="76"/>
      <c r="IBK1364" s="76"/>
      <c r="IBL1364" s="76"/>
      <c r="IBM1364" s="50"/>
      <c r="IBN1364" s="76"/>
      <c r="IBO1364" s="76"/>
      <c r="IBP1364" s="76"/>
      <c r="IBQ1364" s="76"/>
      <c r="IBR1364" s="76"/>
      <c r="IBS1364" s="76"/>
      <c r="IBT1364" s="76"/>
      <c r="IBU1364" s="76"/>
      <c r="IBV1364" s="76"/>
      <c r="IBW1364" s="76"/>
      <c r="IBX1364" s="76"/>
      <c r="IBY1364" s="76"/>
      <c r="IBZ1364" s="76"/>
      <c r="ICA1364" s="76"/>
      <c r="ICB1364" s="76"/>
      <c r="ICC1364" s="76"/>
      <c r="ICD1364" s="76"/>
      <c r="ICE1364" s="76"/>
      <c r="ICF1364" s="76"/>
      <c r="ICG1364" s="76"/>
      <c r="ICH1364" s="76"/>
      <c r="ICI1364" s="76"/>
      <c r="ICJ1364" s="76"/>
      <c r="ICK1364" s="76"/>
      <c r="ICL1364" s="76"/>
      <c r="ICM1364" s="76"/>
      <c r="ICN1364" s="76"/>
      <c r="ICO1364" s="76"/>
      <c r="ICP1364" s="76"/>
      <c r="ICQ1364" s="76"/>
      <c r="ICR1364" s="76"/>
      <c r="ICS1364" s="76"/>
      <c r="ICT1364" s="76"/>
      <c r="ICU1364" s="76"/>
      <c r="ICV1364" s="76"/>
      <c r="ICW1364" s="76"/>
      <c r="ICX1364" s="76"/>
      <c r="ICY1364" s="76"/>
      <c r="ICZ1364" s="76"/>
      <c r="IDA1364" s="76"/>
      <c r="IDB1364" s="76"/>
      <c r="IDC1364" s="76"/>
      <c r="IDD1364" s="76"/>
      <c r="IDE1364" s="76"/>
      <c r="IDF1364" s="76"/>
      <c r="IDG1364" s="76"/>
      <c r="IDH1364" s="76"/>
      <c r="IDI1364" s="76"/>
      <c r="IDJ1364" s="76"/>
      <c r="IDK1364" s="76"/>
      <c r="IDL1364" s="76"/>
      <c r="IDM1364" s="76"/>
      <c r="IDN1364" s="76"/>
      <c r="IDO1364" s="76"/>
      <c r="IDP1364" s="76"/>
      <c r="IDQ1364" s="76"/>
      <c r="IDR1364" s="76"/>
      <c r="IDS1364" s="76"/>
      <c r="IDT1364" s="76"/>
      <c r="IDU1364" s="76"/>
      <c r="IDV1364" s="76"/>
      <c r="IDW1364" s="76"/>
      <c r="IDX1364" s="76"/>
      <c r="IDY1364" s="76"/>
      <c r="IDZ1364" s="76"/>
      <c r="IEA1364" s="76"/>
      <c r="IEB1364" s="76"/>
      <c r="IEC1364" s="76"/>
      <c r="IED1364" s="76"/>
      <c r="IEE1364" s="76"/>
      <c r="IEF1364" s="76"/>
      <c r="IEG1364" s="76"/>
      <c r="IEH1364" s="76"/>
      <c r="IEI1364" s="76"/>
      <c r="IEJ1364" s="76"/>
      <c r="IEK1364" s="76"/>
      <c r="IEL1364" s="76"/>
      <c r="IEM1364" s="76"/>
      <c r="IEN1364" s="76"/>
      <c r="IEO1364" s="76"/>
      <c r="IEP1364" s="76"/>
      <c r="IEQ1364" s="76"/>
      <c r="IER1364" s="76"/>
      <c r="IES1364" s="76"/>
      <c r="IET1364" s="76"/>
      <c r="IEU1364" s="76"/>
      <c r="IEV1364" s="76"/>
      <c r="IEW1364" s="76"/>
      <c r="IEX1364" s="76"/>
      <c r="IEY1364" s="76"/>
      <c r="IEZ1364" s="76"/>
      <c r="IFA1364" s="76"/>
      <c r="IFB1364" s="76"/>
      <c r="IFC1364" s="76"/>
      <c r="IFD1364" s="76"/>
      <c r="IFE1364" s="76"/>
      <c r="IFF1364" s="76"/>
      <c r="IFG1364" s="76"/>
      <c r="IFH1364" s="76"/>
      <c r="IFI1364" s="76"/>
      <c r="IFJ1364" s="76"/>
      <c r="IFK1364" s="76"/>
      <c r="IFL1364" s="76"/>
      <c r="IFM1364" s="76"/>
      <c r="IFN1364" s="76"/>
      <c r="IFO1364" s="76"/>
      <c r="IFP1364" s="76"/>
      <c r="IFQ1364" s="76"/>
      <c r="IFR1364" s="76"/>
      <c r="IFS1364" s="76"/>
      <c r="IFT1364" s="76"/>
      <c r="IFU1364" s="76"/>
      <c r="IFV1364" s="76"/>
      <c r="IFW1364" s="76"/>
      <c r="IFX1364" s="76"/>
      <c r="IFY1364" s="76"/>
      <c r="IFZ1364" s="76"/>
      <c r="IGA1364" s="76"/>
      <c r="IGB1364" s="76"/>
      <c r="IGC1364" s="76"/>
      <c r="IGD1364" s="76"/>
      <c r="IGE1364" s="76"/>
      <c r="IGF1364" s="76"/>
      <c r="IGG1364" s="76"/>
      <c r="IGH1364" s="76"/>
      <c r="IGI1364" s="76"/>
      <c r="IGJ1364" s="76"/>
      <c r="IGK1364" s="76"/>
      <c r="IGL1364" s="76"/>
      <c r="IGM1364" s="76"/>
      <c r="IGN1364" s="76"/>
      <c r="IGO1364" s="76"/>
      <c r="IGP1364" s="76"/>
      <c r="IGQ1364" s="76"/>
      <c r="IGR1364" s="76"/>
      <c r="IGS1364" s="76"/>
      <c r="IGT1364" s="76"/>
      <c r="IGU1364" s="76"/>
      <c r="IGV1364" s="76"/>
      <c r="IGW1364" s="76"/>
      <c r="IGX1364" s="76"/>
      <c r="IGY1364" s="76"/>
      <c r="IGZ1364" s="76"/>
      <c r="IHA1364" s="76"/>
      <c r="IHB1364" s="76"/>
      <c r="IHC1364" s="76"/>
      <c r="IHD1364" s="76"/>
      <c r="IHE1364" s="76"/>
      <c r="IHF1364" s="76"/>
      <c r="IHG1364" s="76"/>
      <c r="IHH1364" s="76"/>
      <c r="IHI1364" s="76"/>
      <c r="IHJ1364" s="76"/>
      <c r="IHK1364" s="76"/>
      <c r="IHL1364" s="76"/>
      <c r="IHM1364" s="76"/>
      <c r="IHN1364" s="76"/>
      <c r="IHO1364" s="76"/>
      <c r="IHP1364" s="76"/>
      <c r="IHQ1364" s="76"/>
      <c r="IHR1364" s="76"/>
      <c r="IHS1364" s="76"/>
      <c r="IHT1364" s="76"/>
      <c r="IHU1364" s="76"/>
      <c r="IHV1364" s="76"/>
      <c r="IHW1364" s="76"/>
      <c r="IHX1364" s="76"/>
      <c r="IHY1364" s="76"/>
      <c r="IHZ1364" s="76"/>
      <c r="IIA1364" s="76"/>
      <c r="IIB1364" s="76"/>
      <c r="IIC1364" s="76"/>
      <c r="IID1364" s="76"/>
      <c r="IIE1364" s="76"/>
      <c r="IIF1364" s="76"/>
      <c r="IIG1364" s="76"/>
      <c r="IIH1364" s="76"/>
      <c r="III1364" s="76"/>
      <c r="IIJ1364" s="76"/>
      <c r="IIK1364" s="76"/>
      <c r="IIL1364" s="76"/>
      <c r="IIM1364" s="76"/>
      <c r="IIN1364" s="76"/>
      <c r="IIO1364" s="76"/>
      <c r="IIP1364" s="76"/>
      <c r="IIQ1364" s="76"/>
      <c r="IIR1364" s="76"/>
      <c r="IIS1364" s="76"/>
      <c r="IIT1364" s="76"/>
      <c r="IIU1364" s="76"/>
      <c r="IIV1364" s="76"/>
      <c r="IIW1364" s="76"/>
      <c r="IIX1364" s="76"/>
      <c r="IIY1364" s="76"/>
      <c r="IIZ1364" s="76"/>
      <c r="IJA1364" s="76"/>
      <c r="IJB1364" s="76"/>
      <c r="IJC1364" s="76"/>
      <c r="IJD1364" s="76"/>
      <c r="IJE1364" s="76"/>
      <c r="IJF1364" s="76"/>
      <c r="IJG1364" s="76"/>
      <c r="IJH1364" s="76"/>
      <c r="IJI1364" s="76"/>
      <c r="IJJ1364" s="76"/>
      <c r="IJK1364" s="76"/>
      <c r="IJL1364" s="76"/>
      <c r="IJM1364" s="76"/>
      <c r="IJN1364" s="76"/>
      <c r="IJO1364" s="76"/>
      <c r="IJP1364" s="76"/>
      <c r="IJQ1364" s="76"/>
      <c r="IJR1364" s="76"/>
      <c r="IJS1364" s="76"/>
      <c r="IJT1364" s="76"/>
      <c r="IJU1364" s="76"/>
      <c r="IJV1364" s="76"/>
      <c r="IJW1364" s="76"/>
      <c r="IJX1364" s="76"/>
      <c r="IJY1364" s="76"/>
      <c r="IJZ1364" s="76"/>
      <c r="IKA1364" s="76"/>
      <c r="IKB1364" s="76"/>
      <c r="IKC1364" s="76"/>
      <c r="IKD1364" s="76"/>
      <c r="IKE1364" s="76"/>
      <c r="IKF1364" s="76"/>
      <c r="IKG1364" s="76"/>
      <c r="IKH1364" s="76"/>
      <c r="IKI1364" s="76"/>
      <c r="IKJ1364" s="76"/>
      <c r="IKK1364" s="76"/>
      <c r="IKL1364" s="76"/>
      <c r="IKM1364" s="76"/>
      <c r="IKN1364" s="76"/>
      <c r="IKO1364" s="76"/>
      <c r="IKP1364" s="76"/>
      <c r="IKQ1364" s="76"/>
      <c r="IKR1364" s="76"/>
      <c r="IKS1364" s="76"/>
      <c r="IKT1364" s="76"/>
      <c r="IKU1364" s="76"/>
      <c r="IKV1364" s="76"/>
      <c r="IKW1364" s="76"/>
      <c r="IKX1364" s="76"/>
      <c r="IKY1364" s="76"/>
      <c r="IKZ1364" s="76"/>
      <c r="ILA1364" s="76"/>
      <c r="ILB1364" s="76"/>
      <c r="ILC1364" s="76"/>
      <c r="ILD1364" s="76"/>
      <c r="ILE1364" s="76"/>
      <c r="ILF1364" s="76"/>
      <c r="ILG1364" s="76"/>
      <c r="ILH1364" s="76"/>
      <c r="ILI1364" s="50"/>
      <c r="ILJ1364" s="76"/>
      <c r="ILK1364" s="76"/>
      <c r="ILL1364" s="76"/>
      <c r="ILM1364" s="76"/>
      <c r="ILN1364" s="76"/>
      <c r="ILO1364" s="76"/>
      <c r="ILP1364" s="76"/>
      <c r="ILQ1364" s="76"/>
      <c r="ILR1364" s="76"/>
      <c r="ILS1364" s="76"/>
      <c r="ILT1364" s="76"/>
      <c r="ILU1364" s="76"/>
      <c r="ILV1364" s="76"/>
      <c r="ILW1364" s="76"/>
      <c r="ILX1364" s="76"/>
      <c r="ILY1364" s="76"/>
      <c r="ILZ1364" s="76"/>
      <c r="IMA1364" s="76"/>
      <c r="IMB1364" s="76"/>
      <c r="IMC1364" s="76"/>
      <c r="IMD1364" s="76"/>
      <c r="IME1364" s="76"/>
      <c r="IMF1364" s="76"/>
      <c r="IMG1364" s="76"/>
      <c r="IMH1364" s="76"/>
      <c r="IMI1364" s="76"/>
      <c r="IMJ1364" s="76"/>
      <c r="IMK1364" s="76"/>
      <c r="IML1364" s="76"/>
      <c r="IMM1364" s="76"/>
      <c r="IMN1364" s="76"/>
      <c r="IMO1364" s="76"/>
      <c r="IMP1364" s="76"/>
      <c r="IMQ1364" s="76"/>
      <c r="IMR1364" s="76"/>
      <c r="IMS1364" s="76"/>
      <c r="IMT1364" s="76"/>
      <c r="IMU1364" s="76"/>
      <c r="IMV1364" s="76"/>
      <c r="IMW1364" s="76"/>
      <c r="IMX1364" s="76"/>
      <c r="IMY1364" s="76"/>
      <c r="IMZ1364" s="76"/>
      <c r="INA1364" s="76"/>
      <c r="INB1364" s="76"/>
      <c r="INC1364" s="76"/>
      <c r="IND1364" s="76"/>
      <c r="INE1364" s="76"/>
      <c r="INF1364" s="76"/>
      <c r="ING1364" s="76"/>
      <c r="INH1364" s="76"/>
      <c r="INI1364" s="76"/>
      <c r="INJ1364" s="76"/>
      <c r="INK1364" s="76"/>
      <c r="INL1364" s="76"/>
      <c r="INM1364" s="76"/>
      <c r="INN1364" s="76"/>
      <c r="INO1364" s="76"/>
      <c r="INP1364" s="76"/>
      <c r="INQ1364" s="76"/>
      <c r="INR1364" s="76"/>
      <c r="INS1364" s="76"/>
      <c r="INT1364" s="76"/>
      <c r="INU1364" s="76"/>
      <c r="INV1364" s="76"/>
      <c r="INW1364" s="76"/>
      <c r="INX1364" s="76"/>
      <c r="INY1364" s="76"/>
      <c r="INZ1364" s="76"/>
      <c r="IOA1364" s="76"/>
      <c r="IOB1364" s="76"/>
      <c r="IOC1364" s="76"/>
      <c r="IOD1364" s="76"/>
      <c r="IOE1364" s="76"/>
      <c r="IOF1364" s="76"/>
      <c r="IOG1364" s="76"/>
      <c r="IOH1364" s="76"/>
      <c r="IOI1364" s="76"/>
      <c r="IOJ1364" s="76"/>
      <c r="IOK1364" s="76"/>
      <c r="IOL1364" s="76"/>
      <c r="IOM1364" s="76"/>
      <c r="ION1364" s="76"/>
      <c r="IOO1364" s="76"/>
      <c r="IOP1364" s="76"/>
      <c r="IOQ1364" s="76"/>
      <c r="IOR1364" s="76"/>
      <c r="IOS1364" s="76"/>
      <c r="IOT1364" s="76"/>
      <c r="IOU1364" s="76"/>
      <c r="IOV1364" s="76"/>
      <c r="IOW1364" s="76"/>
      <c r="IOX1364" s="76"/>
      <c r="IOY1364" s="76"/>
      <c r="IOZ1364" s="76"/>
      <c r="IPA1364" s="76"/>
      <c r="IPB1364" s="76"/>
      <c r="IPC1364" s="76"/>
      <c r="IPD1364" s="76"/>
      <c r="IPE1364" s="76"/>
      <c r="IPF1364" s="76"/>
      <c r="IPG1364" s="76"/>
      <c r="IPH1364" s="76"/>
      <c r="IPI1364" s="76"/>
      <c r="IPJ1364" s="76"/>
      <c r="IPK1364" s="76"/>
      <c r="IPL1364" s="76"/>
      <c r="IPM1364" s="76"/>
      <c r="IPN1364" s="76"/>
      <c r="IPO1364" s="76"/>
      <c r="IPP1364" s="76"/>
      <c r="IPQ1364" s="76"/>
      <c r="IPR1364" s="76"/>
      <c r="IPS1364" s="76"/>
      <c r="IPT1364" s="76"/>
      <c r="IPU1364" s="76"/>
      <c r="IPV1364" s="76"/>
      <c r="IPW1364" s="76"/>
      <c r="IPX1364" s="76"/>
      <c r="IPY1364" s="76"/>
      <c r="IPZ1364" s="76"/>
      <c r="IQA1364" s="76"/>
      <c r="IQB1364" s="76"/>
      <c r="IQC1364" s="76"/>
      <c r="IQD1364" s="76"/>
      <c r="IQE1364" s="76"/>
      <c r="IQF1364" s="76"/>
      <c r="IQG1364" s="76"/>
      <c r="IQH1364" s="76"/>
      <c r="IQI1364" s="76"/>
      <c r="IQJ1364" s="76"/>
      <c r="IQK1364" s="76"/>
      <c r="IQL1364" s="76"/>
      <c r="IQM1364" s="76"/>
      <c r="IQN1364" s="76"/>
      <c r="IQO1364" s="76"/>
      <c r="IQP1364" s="76"/>
      <c r="IQQ1364" s="76"/>
      <c r="IQR1364" s="76"/>
      <c r="IQS1364" s="76"/>
      <c r="IQT1364" s="76"/>
      <c r="IQU1364" s="76"/>
      <c r="IQV1364" s="76"/>
      <c r="IQW1364" s="76"/>
      <c r="IQX1364" s="76"/>
      <c r="IQY1364" s="76"/>
      <c r="IQZ1364" s="76"/>
      <c r="IRA1364" s="76"/>
      <c r="IRB1364" s="76"/>
      <c r="IRC1364" s="76"/>
      <c r="IRD1364" s="76"/>
      <c r="IRE1364" s="76"/>
      <c r="IRF1364" s="76"/>
      <c r="IRG1364" s="76"/>
      <c r="IRH1364" s="76"/>
      <c r="IRI1364" s="76"/>
      <c r="IRJ1364" s="76"/>
      <c r="IRK1364" s="76"/>
      <c r="IRL1364" s="76"/>
      <c r="IRM1364" s="76"/>
      <c r="IRN1364" s="76"/>
      <c r="IRO1364" s="76"/>
      <c r="IRP1364" s="76"/>
      <c r="IRQ1364" s="76"/>
      <c r="IRR1364" s="76"/>
      <c r="IRS1364" s="76"/>
      <c r="IRT1364" s="76"/>
      <c r="IRU1364" s="76"/>
      <c r="IRV1364" s="76"/>
      <c r="IRW1364" s="76"/>
      <c r="IRX1364" s="76"/>
      <c r="IRY1364" s="76"/>
      <c r="IRZ1364" s="76"/>
      <c r="ISA1364" s="76"/>
      <c r="ISB1364" s="76"/>
      <c r="ISC1364" s="76"/>
      <c r="ISD1364" s="76"/>
      <c r="ISE1364" s="76"/>
      <c r="ISF1364" s="76"/>
      <c r="ISG1364" s="76"/>
      <c r="ISH1364" s="76"/>
      <c r="ISI1364" s="76"/>
      <c r="ISJ1364" s="76"/>
      <c r="ISK1364" s="76"/>
      <c r="ISL1364" s="76"/>
      <c r="ISM1364" s="76"/>
      <c r="ISN1364" s="76"/>
      <c r="ISO1364" s="76"/>
      <c r="ISP1364" s="76"/>
      <c r="ISQ1364" s="76"/>
      <c r="ISR1364" s="76"/>
      <c r="ISS1364" s="76"/>
      <c r="IST1364" s="76"/>
      <c r="ISU1364" s="76"/>
      <c r="ISV1364" s="76"/>
      <c r="ISW1364" s="76"/>
      <c r="ISX1364" s="76"/>
      <c r="ISY1364" s="76"/>
      <c r="ISZ1364" s="76"/>
      <c r="ITA1364" s="76"/>
      <c r="ITB1364" s="76"/>
      <c r="ITC1364" s="76"/>
      <c r="ITD1364" s="76"/>
      <c r="ITE1364" s="76"/>
      <c r="ITF1364" s="76"/>
      <c r="ITG1364" s="76"/>
      <c r="ITH1364" s="76"/>
      <c r="ITI1364" s="76"/>
      <c r="ITJ1364" s="76"/>
      <c r="ITK1364" s="76"/>
      <c r="ITL1364" s="76"/>
      <c r="ITM1364" s="76"/>
      <c r="ITN1364" s="76"/>
      <c r="ITO1364" s="76"/>
      <c r="ITP1364" s="76"/>
      <c r="ITQ1364" s="76"/>
      <c r="ITR1364" s="76"/>
      <c r="ITS1364" s="76"/>
      <c r="ITT1364" s="76"/>
      <c r="ITU1364" s="76"/>
      <c r="ITV1364" s="76"/>
      <c r="ITW1364" s="76"/>
      <c r="ITX1364" s="76"/>
      <c r="ITY1364" s="76"/>
      <c r="ITZ1364" s="76"/>
      <c r="IUA1364" s="76"/>
      <c r="IUB1364" s="76"/>
      <c r="IUC1364" s="76"/>
      <c r="IUD1364" s="76"/>
      <c r="IUE1364" s="76"/>
      <c r="IUF1364" s="76"/>
      <c r="IUG1364" s="76"/>
      <c r="IUH1364" s="76"/>
      <c r="IUI1364" s="76"/>
      <c r="IUJ1364" s="76"/>
      <c r="IUK1364" s="76"/>
      <c r="IUL1364" s="76"/>
      <c r="IUM1364" s="76"/>
      <c r="IUN1364" s="76"/>
      <c r="IUO1364" s="76"/>
      <c r="IUP1364" s="76"/>
      <c r="IUQ1364" s="76"/>
      <c r="IUR1364" s="76"/>
      <c r="IUS1364" s="76"/>
      <c r="IUT1364" s="76"/>
      <c r="IUU1364" s="76"/>
      <c r="IUV1364" s="76"/>
      <c r="IUW1364" s="76"/>
      <c r="IUX1364" s="76"/>
      <c r="IUY1364" s="76"/>
      <c r="IUZ1364" s="76"/>
      <c r="IVA1364" s="76"/>
      <c r="IVB1364" s="76"/>
      <c r="IVC1364" s="76"/>
      <c r="IVD1364" s="76"/>
      <c r="IVE1364" s="50"/>
      <c r="IVF1364" s="76"/>
      <c r="IVG1364" s="76"/>
      <c r="IVH1364" s="76"/>
      <c r="IVI1364" s="76"/>
      <c r="IVJ1364" s="76"/>
      <c r="IVK1364" s="76"/>
      <c r="IVL1364" s="76"/>
      <c r="IVM1364" s="76"/>
      <c r="IVN1364" s="76"/>
      <c r="IVO1364" s="76"/>
      <c r="IVP1364" s="76"/>
      <c r="IVQ1364" s="76"/>
      <c r="IVR1364" s="76"/>
      <c r="IVS1364" s="76"/>
      <c r="IVT1364" s="76"/>
      <c r="IVU1364" s="76"/>
      <c r="IVV1364" s="76"/>
      <c r="IVW1364" s="76"/>
      <c r="IVX1364" s="76"/>
      <c r="IVY1364" s="76"/>
      <c r="IVZ1364" s="76"/>
      <c r="IWA1364" s="76"/>
      <c r="IWB1364" s="76"/>
      <c r="IWC1364" s="76"/>
      <c r="IWD1364" s="76"/>
      <c r="IWE1364" s="76"/>
      <c r="IWF1364" s="76"/>
      <c r="IWG1364" s="76"/>
      <c r="IWH1364" s="76"/>
      <c r="IWI1364" s="76"/>
      <c r="IWJ1364" s="76"/>
      <c r="IWK1364" s="76"/>
      <c r="IWL1364" s="76"/>
      <c r="IWM1364" s="76"/>
      <c r="IWN1364" s="76"/>
      <c r="IWO1364" s="76"/>
      <c r="IWP1364" s="76"/>
      <c r="IWQ1364" s="76"/>
      <c r="IWR1364" s="76"/>
      <c r="IWS1364" s="76"/>
      <c r="IWT1364" s="76"/>
      <c r="IWU1364" s="76"/>
      <c r="IWV1364" s="76"/>
      <c r="IWW1364" s="76"/>
      <c r="IWX1364" s="76"/>
      <c r="IWY1364" s="76"/>
      <c r="IWZ1364" s="76"/>
      <c r="IXA1364" s="76"/>
      <c r="IXB1364" s="76"/>
      <c r="IXC1364" s="76"/>
      <c r="IXD1364" s="76"/>
      <c r="IXE1364" s="76"/>
      <c r="IXF1364" s="76"/>
      <c r="IXG1364" s="76"/>
      <c r="IXH1364" s="76"/>
      <c r="IXI1364" s="76"/>
      <c r="IXJ1364" s="76"/>
      <c r="IXK1364" s="76"/>
      <c r="IXL1364" s="76"/>
      <c r="IXM1364" s="76"/>
      <c r="IXN1364" s="76"/>
      <c r="IXO1364" s="76"/>
      <c r="IXP1364" s="76"/>
      <c r="IXQ1364" s="76"/>
      <c r="IXR1364" s="76"/>
      <c r="IXS1364" s="76"/>
      <c r="IXT1364" s="76"/>
      <c r="IXU1364" s="76"/>
      <c r="IXV1364" s="76"/>
      <c r="IXW1364" s="76"/>
      <c r="IXX1364" s="76"/>
      <c r="IXY1364" s="76"/>
      <c r="IXZ1364" s="76"/>
      <c r="IYA1364" s="76"/>
      <c r="IYB1364" s="76"/>
      <c r="IYC1364" s="76"/>
      <c r="IYD1364" s="76"/>
      <c r="IYE1364" s="76"/>
      <c r="IYF1364" s="76"/>
      <c r="IYG1364" s="76"/>
      <c r="IYH1364" s="76"/>
      <c r="IYI1364" s="76"/>
      <c r="IYJ1364" s="76"/>
      <c r="IYK1364" s="76"/>
      <c r="IYL1364" s="76"/>
      <c r="IYM1364" s="76"/>
      <c r="IYN1364" s="76"/>
      <c r="IYO1364" s="76"/>
      <c r="IYP1364" s="76"/>
      <c r="IYQ1364" s="76"/>
      <c r="IYR1364" s="76"/>
      <c r="IYS1364" s="76"/>
      <c r="IYT1364" s="76"/>
      <c r="IYU1364" s="76"/>
      <c r="IYV1364" s="76"/>
      <c r="IYW1364" s="76"/>
      <c r="IYX1364" s="76"/>
      <c r="IYY1364" s="76"/>
      <c r="IYZ1364" s="76"/>
      <c r="IZA1364" s="76"/>
      <c r="IZB1364" s="76"/>
      <c r="IZC1364" s="76"/>
      <c r="IZD1364" s="76"/>
      <c r="IZE1364" s="76"/>
      <c r="IZF1364" s="76"/>
      <c r="IZG1364" s="76"/>
      <c r="IZH1364" s="76"/>
      <c r="IZI1364" s="76"/>
      <c r="IZJ1364" s="76"/>
      <c r="IZK1364" s="76"/>
      <c r="IZL1364" s="76"/>
      <c r="IZM1364" s="76"/>
      <c r="IZN1364" s="76"/>
      <c r="IZO1364" s="76"/>
      <c r="IZP1364" s="76"/>
      <c r="IZQ1364" s="76"/>
      <c r="IZR1364" s="76"/>
      <c r="IZS1364" s="76"/>
      <c r="IZT1364" s="76"/>
      <c r="IZU1364" s="76"/>
      <c r="IZV1364" s="76"/>
      <c r="IZW1364" s="76"/>
      <c r="IZX1364" s="76"/>
      <c r="IZY1364" s="76"/>
      <c r="IZZ1364" s="76"/>
      <c r="JAA1364" s="76"/>
      <c r="JAB1364" s="76"/>
      <c r="JAC1364" s="76"/>
      <c r="JAD1364" s="76"/>
      <c r="JAE1364" s="76"/>
      <c r="JAF1364" s="76"/>
      <c r="JAG1364" s="76"/>
      <c r="JAH1364" s="76"/>
      <c r="JAI1364" s="76"/>
      <c r="JAJ1364" s="76"/>
      <c r="JAK1364" s="76"/>
      <c r="JAL1364" s="76"/>
      <c r="JAM1364" s="76"/>
      <c r="JAN1364" s="76"/>
      <c r="JAO1364" s="76"/>
      <c r="JAP1364" s="76"/>
      <c r="JAQ1364" s="76"/>
      <c r="JAR1364" s="76"/>
      <c r="JAS1364" s="76"/>
      <c r="JAT1364" s="76"/>
      <c r="JAU1364" s="76"/>
      <c r="JAV1364" s="76"/>
      <c r="JAW1364" s="76"/>
      <c r="JAX1364" s="76"/>
      <c r="JAY1364" s="76"/>
      <c r="JAZ1364" s="76"/>
      <c r="JBA1364" s="76"/>
      <c r="JBB1364" s="76"/>
      <c r="JBC1364" s="76"/>
      <c r="JBD1364" s="76"/>
      <c r="JBE1364" s="76"/>
      <c r="JBF1364" s="76"/>
      <c r="JBG1364" s="76"/>
      <c r="JBH1364" s="76"/>
      <c r="JBI1364" s="76"/>
      <c r="JBJ1364" s="76"/>
      <c r="JBK1364" s="76"/>
      <c r="JBL1364" s="76"/>
      <c r="JBM1364" s="76"/>
      <c r="JBN1364" s="76"/>
      <c r="JBO1364" s="76"/>
      <c r="JBP1364" s="76"/>
      <c r="JBQ1364" s="76"/>
      <c r="JBR1364" s="76"/>
      <c r="JBS1364" s="76"/>
      <c r="JBT1364" s="76"/>
      <c r="JBU1364" s="76"/>
      <c r="JBV1364" s="76"/>
      <c r="JBW1364" s="76"/>
      <c r="JBX1364" s="76"/>
      <c r="JBY1364" s="76"/>
      <c r="JBZ1364" s="76"/>
      <c r="JCA1364" s="76"/>
      <c r="JCB1364" s="76"/>
      <c r="JCC1364" s="76"/>
      <c r="JCD1364" s="76"/>
      <c r="JCE1364" s="76"/>
      <c r="JCF1364" s="76"/>
      <c r="JCG1364" s="76"/>
      <c r="JCH1364" s="76"/>
      <c r="JCI1364" s="76"/>
      <c r="JCJ1364" s="76"/>
      <c r="JCK1364" s="76"/>
      <c r="JCL1364" s="76"/>
      <c r="JCM1364" s="76"/>
      <c r="JCN1364" s="76"/>
      <c r="JCO1364" s="76"/>
      <c r="JCP1364" s="76"/>
      <c r="JCQ1364" s="76"/>
      <c r="JCR1364" s="76"/>
      <c r="JCS1364" s="76"/>
      <c r="JCT1364" s="76"/>
      <c r="JCU1364" s="76"/>
      <c r="JCV1364" s="76"/>
      <c r="JCW1364" s="76"/>
      <c r="JCX1364" s="76"/>
      <c r="JCY1364" s="76"/>
      <c r="JCZ1364" s="76"/>
      <c r="JDA1364" s="76"/>
      <c r="JDB1364" s="76"/>
      <c r="JDC1364" s="76"/>
      <c r="JDD1364" s="76"/>
      <c r="JDE1364" s="76"/>
      <c r="JDF1364" s="76"/>
      <c r="JDG1364" s="76"/>
      <c r="JDH1364" s="76"/>
      <c r="JDI1364" s="76"/>
      <c r="JDJ1364" s="76"/>
      <c r="JDK1364" s="76"/>
      <c r="JDL1364" s="76"/>
      <c r="JDM1364" s="76"/>
      <c r="JDN1364" s="76"/>
      <c r="JDO1364" s="76"/>
      <c r="JDP1364" s="76"/>
      <c r="JDQ1364" s="76"/>
      <c r="JDR1364" s="76"/>
      <c r="JDS1364" s="76"/>
      <c r="JDT1364" s="76"/>
      <c r="JDU1364" s="76"/>
      <c r="JDV1364" s="76"/>
      <c r="JDW1364" s="76"/>
      <c r="JDX1364" s="76"/>
      <c r="JDY1364" s="76"/>
      <c r="JDZ1364" s="76"/>
      <c r="JEA1364" s="76"/>
      <c r="JEB1364" s="76"/>
      <c r="JEC1364" s="76"/>
      <c r="JED1364" s="76"/>
      <c r="JEE1364" s="76"/>
      <c r="JEF1364" s="76"/>
      <c r="JEG1364" s="76"/>
      <c r="JEH1364" s="76"/>
      <c r="JEI1364" s="76"/>
      <c r="JEJ1364" s="76"/>
      <c r="JEK1364" s="76"/>
      <c r="JEL1364" s="76"/>
      <c r="JEM1364" s="76"/>
      <c r="JEN1364" s="76"/>
      <c r="JEO1364" s="76"/>
      <c r="JEP1364" s="76"/>
      <c r="JEQ1364" s="76"/>
      <c r="JER1364" s="76"/>
      <c r="JES1364" s="76"/>
      <c r="JET1364" s="76"/>
      <c r="JEU1364" s="76"/>
      <c r="JEV1364" s="76"/>
      <c r="JEW1364" s="76"/>
      <c r="JEX1364" s="76"/>
      <c r="JEY1364" s="76"/>
      <c r="JEZ1364" s="76"/>
      <c r="JFA1364" s="50"/>
      <c r="JFB1364" s="76"/>
      <c r="JFC1364" s="76"/>
      <c r="JFD1364" s="76"/>
      <c r="JFE1364" s="76"/>
      <c r="JFF1364" s="76"/>
      <c r="JFG1364" s="76"/>
      <c r="JFH1364" s="76"/>
      <c r="JFI1364" s="76"/>
      <c r="JFJ1364" s="76"/>
      <c r="JFK1364" s="76"/>
      <c r="JFL1364" s="76"/>
      <c r="JFM1364" s="76"/>
      <c r="JFN1364" s="76"/>
      <c r="JFO1364" s="76"/>
      <c r="JFP1364" s="76"/>
      <c r="JFQ1364" s="76"/>
      <c r="JFR1364" s="76"/>
      <c r="JFS1364" s="76"/>
      <c r="JFT1364" s="76"/>
      <c r="JFU1364" s="76"/>
      <c r="JFV1364" s="76"/>
      <c r="JFW1364" s="76"/>
      <c r="JFX1364" s="76"/>
      <c r="JFY1364" s="76"/>
      <c r="JFZ1364" s="76"/>
      <c r="JGA1364" s="76"/>
      <c r="JGB1364" s="76"/>
      <c r="JGC1364" s="76"/>
      <c r="JGD1364" s="76"/>
      <c r="JGE1364" s="76"/>
      <c r="JGF1364" s="76"/>
      <c r="JGG1364" s="76"/>
      <c r="JGH1364" s="76"/>
      <c r="JGI1364" s="76"/>
      <c r="JGJ1364" s="76"/>
      <c r="JGK1364" s="76"/>
      <c r="JGL1364" s="76"/>
      <c r="JGM1364" s="76"/>
      <c r="JGN1364" s="76"/>
      <c r="JGO1364" s="76"/>
      <c r="JGP1364" s="76"/>
      <c r="JGQ1364" s="76"/>
      <c r="JGR1364" s="76"/>
      <c r="JGS1364" s="76"/>
      <c r="JGT1364" s="76"/>
      <c r="JGU1364" s="76"/>
      <c r="JGV1364" s="76"/>
      <c r="JGW1364" s="76"/>
      <c r="JGX1364" s="76"/>
      <c r="JGY1364" s="76"/>
      <c r="JGZ1364" s="76"/>
      <c r="JHA1364" s="76"/>
      <c r="JHB1364" s="76"/>
      <c r="JHC1364" s="76"/>
      <c r="JHD1364" s="76"/>
      <c r="JHE1364" s="76"/>
      <c r="JHF1364" s="76"/>
      <c r="JHG1364" s="76"/>
      <c r="JHH1364" s="76"/>
      <c r="JHI1364" s="76"/>
      <c r="JHJ1364" s="76"/>
      <c r="JHK1364" s="76"/>
      <c r="JHL1364" s="76"/>
      <c r="JHM1364" s="76"/>
      <c r="JHN1364" s="76"/>
      <c r="JHO1364" s="76"/>
      <c r="JHP1364" s="76"/>
      <c r="JHQ1364" s="76"/>
      <c r="JHR1364" s="76"/>
      <c r="JHS1364" s="76"/>
      <c r="JHT1364" s="76"/>
      <c r="JHU1364" s="76"/>
      <c r="JHV1364" s="76"/>
      <c r="JHW1364" s="76"/>
      <c r="JHX1364" s="76"/>
      <c r="JHY1364" s="76"/>
      <c r="JHZ1364" s="76"/>
      <c r="JIA1364" s="76"/>
      <c r="JIB1364" s="76"/>
      <c r="JIC1364" s="76"/>
      <c r="JID1364" s="76"/>
      <c r="JIE1364" s="76"/>
      <c r="JIF1364" s="76"/>
      <c r="JIG1364" s="76"/>
      <c r="JIH1364" s="76"/>
      <c r="JII1364" s="76"/>
      <c r="JIJ1364" s="76"/>
      <c r="JIK1364" s="76"/>
      <c r="JIL1364" s="76"/>
      <c r="JIM1364" s="76"/>
      <c r="JIN1364" s="76"/>
      <c r="JIO1364" s="76"/>
      <c r="JIP1364" s="76"/>
      <c r="JIQ1364" s="76"/>
      <c r="JIR1364" s="76"/>
      <c r="JIS1364" s="76"/>
      <c r="JIT1364" s="76"/>
      <c r="JIU1364" s="76"/>
      <c r="JIV1364" s="76"/>
      <c r="JIW1364" s="76"/>
      <c r="JIX1364" s="76"/>
      <c r="JIY1364" s="76"/>
      <c r="JIZ1364" s="76"/>
      <c r="JJA1364" s="76"/>
      <c r="JJB1364" s="76"/>
      <c r="JJC1364" s="76"/>
      <c r="JJD1364" s="76"/>
      <c r="JJE1364" s="76"/>
      <c r="JJF1364" s="76"/>
      <c r="JJG1364" s="76"/>
      <c r="JJH1364" s="76"/>
      <c r="JJI1364" s="76"/>
      <c r="JJJ1364" s="76"/>
      <c r="JJK1364" s="76"/>
      <c r="JJL1364" s="76"/>
      <c r="JJM1364" s="76"/>
      <c r="JJN1364" s="76"/>
      <c r="JJO1364" s="76"/>
      <c r="JJP1364" s="76"/>
      <c r="JJQ1364" s="76"/>
      <c r="JJR1364" s="76"/>
      <c r="JJS1364" s="76"/>
      <c r="JJT1364" s="76"/>
      <c r="JJU1364" s="76"/>
      <c r="JJV1364" s="76"/>
      <c r="JJW1364" s="76"/>
      <c r="JJX1364" s="76"/>
      <c r="JJY1364" s="76"/>
      <c r="JJZ1364" s="76"/>
      <c r="JKA1364" s="76"/>
      <c r="JKB1364" s="76"/>
      <c r="JKC1364" s="76"/>
      <c r="JKD1364" s="76"/>
      <c r="JKE1364" s="76"/>
      <c r="JKF1364" s="76"/>
      <c r="JKG1364" s="76"/>
      <c r="JKH1364" s="76"/>
      <c r="JKI1364" s="76"/>
      <c r="JKJ1364" s="76"/>
      <c r="JKK1364" s="76"/>
      <c r="JKL1364" s="76"/>
      <c r="JKM1364" s="76"/>
      <c r="JKN1364" s="76"/>
      <c r="JKO1364" s="76"/>
      <c r="JKP1364" s="76"/>
      <c r="JKQ1364" s="76"/>
      <c r="JKR1364" s="76"/>
      <c r="JKS1364" s="76"/>
      <c r="JKT1364" s="76"/>
      <c r="JKU1364" s="76"/>
      <c r="JKV1364" s="76"/>
      <c r="JKW1364" s="76"/>
      <c r="JKX1364" s="76"/>
      <c r="JKY1364" s="76"/>
      <c r="JKZ1364" s="76"/>
      <c r="JLA1364" s="76"/>
      <c r="JLB1364" s="76"/>
      <c r="JLC1364" s="76"/>
      <c r="JLD1364" s="76"/>
      <c r="JLE1364" s="76"/>
      <c r="JLF1364" s="76"/>
      <c r="JLG1364" s="76"/>
      <c r="JLH1364" s="76"/>
      <c r="JLI1364" s="76"/>
      <c r="JLJ1364" s="76"/>
      <c r="JLK1364" s="76"/>
      <c r="JLL1364" s="76"/>
      <c r="JLM1364" s="76"/>
      <c r="JLN1364" s="76"/>
      <c r="JLO1364" s="76"/>
      <c r="JLP1364" s="76"/>
      <c r="JLQ1364" s="76"/>
      <c r="JLR1364" s="76"/>
      <c r="JLS1364" s="76"/>
      <c r="JLT1364" s="76"/>
      <c r="JLU1364" s="76"/>
      <c r="JLV1364" s="76"/>
      <c r="JLW1364" s="76"/>
      <c r="JLX1364" s="76"/>
      <c r="JLY1364" s="76"/>
      <c r="JLZ1364" s="76"/>
      <c r="JMA1364" s="76"/>
      <c r="JMB1364" s="76"/>
      <c r="JMC1364" s="76"/>
      <c r="JMD1364" s="76"/>
      <c r="JME1364" s="76"/>
      <c r="JMF1364" s="76"/>
      <c r="JMG1364" s="76"/>
      <c r="JMH1364" s="76"/>
      <c r="JMI1364" s="76"/>
      <c r="JMJ1364" s="76"/>
      <c r="JMK1364" s="76"/>
      <c r="JML1364" s="76"/>
      <c r="JMM1364" s="76"/>
      <c r="JMN1364" s="76"/>
      <c r="JMO1364" s="76"/>
      <c r="JMP1364" s="76"/>
      <c r="JMQ1364" s="76"/>
      <c r="JMR1364" s="76"/>
      <c r="JMS1364" s="76"/>
      <c r="JMT1364" s="76"/>
      <c r="JMU1364" s="76"/>
      <c r="JMV1364" s="76"/>
      <c r="JMW1364" s="76"/>
      <c r="JMX1364" s="76"/>
      <c r="JMY1364" s="76"/>
      <c r="JMZ1364" s="76"/>
      <c r="JNA1364" s="76"/>
      <c r="JNB1364" s="76"/>
      <c r="JNC1364" s="76"/>
      <c r="JND1364" s="76"/>
      <c r="JNE1364" s="76"/>
      <c r="JNF1364" s="76"/>
      <c r="JNG1364" s="76"/>
      <c r="JNH1364" s="76"/>
      <c r="JNI1364" s="76"/>
      <c r="JNJ1364" s="76"/>
      <c r="JNK1364" s="76"/>
      <c r="JNL1364" s="76"/>
      <c r="JNM1364" s="76"/>
      <c r="JNN1364" s="76"/>
      <c r="JNO1364" s="76"/>
      <c r="JNP1364" s="76"/>
      <c r="JNQ1364" s="76"/>
      <c r="JNR1364" s="76"/>
      <c r="JNS1364" s="76"/>
      <c r="JNT1364" s="76"/>
      <c r="JNU1364" s="76"/>
      <c r="JNV1364" s="76"/>
      <c r="JNW1364" s="76"/>
      <c r="JNX1364" s="76"/>
      <c r="JNY1364" s="76"/>
      <c r="JNZ1364" s="76"/>
      <c r="JOA1364" s="76"/>
      <c r="JOB1364" s="76"/>
      <c r="JOC1364" s="76"/>
      <c r="JOD1364" s="76"/>
      <c r="JOE1364" s="76"/>
      <c r="JOF1364" s="76"/>
      <c r="JOG1364" s="76"/>
      <c r="JOH1364" s="76"/>
      <c r="JOI1364" s="76"/>
      <c r="JOJ1364" s="76"/>
      <c r="JOK1364" s="76"/>
      <c r="JOL1364" s="76"/>
      <c r="JOM1364" s="76"/>
      <c r="JON1364" s="76"/>
      <c r="JOO1364" s="76"/>
      <c r="JOP1364" s="76"/>
      <c r="JOQ1364" s="76"/>
      <c r="JOR1364" s="76"/>
      <c r="JOS1364" s="76"/>
      <c r="JOT1364" s="76"/>
      <c r="JOU1364" s="76"/>
      <c r="JOV1364" s="76"/>
      <c r="JOW1364" s="50"/>
      <c r="JOX1364" s="76"/>
      <c r="JOY1364" s="76"/>
      <c r="JOZ1364" s="76"/>
      <c r="JPA1364" s="76"/>
      <c r="JPB1364" s="76"/>
      <c r="JPC1364" s="76"/>
      <c r="JPD1364" s="76"/>
      <c r="JPE1364" s="76"/>
      <c r="JPF1364" s="76"/>
      <c r="JPG1364" s="76"/>
      <c r="JPH1364" s="76"/>
      <c r="JPI1364" s="76"/>
      <c r="JPJ1364" s="76"/>
      <c r="JPK1364" s="76"/>
      <c r="JPL1364" s="76"/>
      <c r="JPM1364" s="76"/>
      <c r="JPN1364" s="76"/>
      <c r="JPO1364" s="76"/>
      <c r="JPP1364" s="76"/>
      <c r="JPQ1364" s="76"/>
      <c r="JPR1364" s="76"/>
      <c r="JPS1364" s="76"/>
      <c r="JPT1364" s="76"/>
      <c r="JPU1364" s="76"/>
      <c r="JPV1364" s="76"/>
      <c r="JPW1364" s="76"/>
      <c r="JPX1364" s="76"/>
      <c r="JPY1364" s="76"/>
      <c r="JPZ1364" s="76"/>
      <c r="JQA1364" s="76"/>
      <c r="JQB1364" s="76"/>
      <c r="JQC1364" s="76"/>
      <c r="JQD1364" s="76"/>
      <c r="JQE1364" s="76"/>
      <c r="JQF1364" s="76"/>
      <c r="JQG1364" s="76"/>
      <c r="JQH1364" s="76"/>
      <c r="JQI1364" s="76"/>
      <c r="JQJ1364" s="76"/>
      <c r="JQK1364" s="76"/>
      <c r="JQL1364" s="76"/>
      <c r="JQM1364" s="76"/>
      <c r="JQN1364" s="76"/>
      <c r="JQO1364" s="76"/>
      <c r="JQP1364" s="76"/>
      <c r="JQQ1364" s="76"/>
      <c r="JQR1364" s="76"/>
      <c r="JQS1364" s="76"/>
      <c r="JQT1364" s="76"/>
      <c r="JQU1364" s="76"/>
      <c r="JQV1364" s="76"/>
      <c r="JQW1364" s="76"/>
      <c r="JQX1364" s="76"/>
      <c r="JQY1364" s="76"/>
      <c r="JQZ1364" s="76"/>
      <c r="JRA1364" s="76"/>
      <c r="JRB1364" s="76"/>
      <c r="JRC1364" s="76"/>
      <c r="JRD1364" s="76"/>
      <c r="JRE1364" s="76"/>
      <c r="JRF1364" s="76"/>
      <c r="JRG1364" s="76"/>
      <c r="JRH1364" s="76"/>
      <c r="JRI1364" s="76"/>
      <c r="JRJ1364" s="76"/>
      <c r="JRK1364" s="76"/>
      <c r="JRL1364" s="76"/>
      <c r="JRM1364" s="76"/>
      <c r="JRN1364" s="76"/>
      <c r="JRO1364" s="76"/>
      <c r="JRP1364" s="76"/>
      <c r="JRQ1364" s="76"/>
      <c r="JRR1364" s="76"/>
      <c r="JRS1364" s="76"/>
      <c r="JRT1364" s="76"/>
      <c r="JRU1364" s="76"/>
      <c r="JRV1364" s="76"/>
      <c r="JRW1364" s="76"/>
      <c r="JRX1364" s="76"/>
      <c r="JRY1364" s="76"/>
      <c r="JRZ1364" s="76"/>
      <c r="JSA1364" s="76"/>
      <c r="JSB1364" s="76"/>
      <c r="JSC1364" s="76"/>
      <c r="JSD1364" s="76"/>
      <c r="JSE1364" s="76"/>
      <c r="JSF1364" s="76"/>
      <c r="JSG1364" s="76"/>
      <c r="JSH1364" s="76"/>
      <c r="JSI1364" s="76"/>
      <c r="JSJ1364" s="76"/>
      <c r="JSK1364" s="76"/>
      <c r="JSL1364" s="76"/>
      <c r="JSM1364" s="76"/>
      <c r="JSN1364" s="76"/>
      <c r="JSO1364" s="76"/>
      <c r="JSP1364" s="76"/>
      <c r="JSQ1364" s="76"/>
      <c r="JSR1364" s="76"/>
      <c r="JSS1364" s="76"/>
      <c r="JST1364" s="76"/>
      <c r="JSU1364" s="76"/>
      <c r="JSV1364" s="76"/>
      <c r="JSW1364" s="76"/>
      <c r="JSX1364" s="76"/>
      <c r="JSY1364" s="76"/>
      <c r="JSZ1364" s="76"/>
      <c r="JTA1364" s="76"/>
      <c r="JTB1364" s="76"/>
      <c r="JTC1364" s="76"/>
      <c r="JTD1364" s="76"/>
      <c r="JTE1364" s="76"/>
      <c r="JTF1364" s="76"/>
      <c r="JTG1364" s="76"/>
      <c r="JTH1364" s="76"/>
      <c r="JTI1364" s="76"/>
      <c r="JTJ1364" s="76"/>
      <c r="JTK1364" s="76"/>
      <c r="JTL1364" s="76"/>
      <c r="JTM1364" s="76"/>
      <c r="JTN1364" s="76"/>
      <c r="JTO1364" s="76"/>
      <c r="JTP1364" s="76"/>
      <c r="JTQ1364" s="76"/>
      <c r="JTR1364" s="76"/>
      <c r="JTS1364" s="76"/>
      <c r="JTT1364" s="76"/>
      <c r="JTU1364" s="76"/>
      <c r="JTV1364" s="76"/>
      <c r="JTW1364" s="76"/>
      <c r="JTX1364" s="76"/>
      <c r="JTY1364" s="76"/>
      <c r="JTZ1364" s="76"/>
      <c r="JUA1364" s="76"/>
      <c r="JUB1364" s="76"/>
      <c r="JUC1364" s="76"/>
      <c r="JUD1364" s="76"/>
      <c r="JUE1364" s="76"/>
      <c r="JUF1364" s="76"/>
      <c r="JUG1364" s="76"/>
      <c r="JUH1364" s="76"/>
      <c r="JUI1364" s="76"/>
      <c r="JUJ1364" s="76"/>
      <c r="JUK1364" s="76"/>
      <c r="JUL1364" s="76"/>
      <c r="JUM1364" s="76"/>
      <c r="JUN1364" s="76"/>
      <c r="JUO1364" s="76"/>
      <c r="JUP1364" s="76"/>
      <c r="JUQ1364" s="76"/>
      <c r="JUR1364" s="76"/>
      <c r="JUS1364" s="76"/>
      <c r="JUT1364" s="76"/>
      <c r="JUU1364" s="76"/>
      <c r="JUV1364" s="76"/>
      <c r="JUW1364" s="76"/>
      <c r="JUX1364" s="76"/>
      <c r="JUY1364" s="76"/>
      <c r="JUZ1364" s="76"/>
      <c r="JVA1364" s="76"/>
      <c r="JVB1364" s="76"/>
      <c r="JVC1364" s="76"/>
      <c r="JVD1364" s="76"/>
      <c r="JVE1364" s="76"/>
      <c r="JVF1364" s="76"/>
      <c r="JVG1364" s="76"/>
      <c r="JVH1364" s="76"/>
      <c r="JVI1364" s="76"/>
      <c r="JVJ1364" s="76"/>
      <c r="JVK1364" s="76"/>
      <c r="JVL1364" s="76"/>
      <c r="JVM1364" s="76"/>
      <c r="JVN1364" s="76"/>
      <c r="JVO1364" s="76"/>
      <c r="JVP1364" s="76"/>
      <c r="JVQ1364" s="76"/>
      <c r="JVR1364" s="76"/>
      <c r="JVS1364" s="76"/>
      <c r="JVT1364" s="76"/>
      <c r="JVU1364" s="76"/>
      <c r="JVV1364" s="76"/>
      <c r="JVW1364" s="76"/>
      <c r="JVX1364" s="76"/>
      <c r="JVY1364" s="76"/>
      <c r="JVZ1364" s="76"/>
      <c r="JWA1364" s="76"/>
      <c r="JWB1364" s="76"/>
      <c r="JWC1364" s="76"/>
      <c r="JWD1364" s="76"/>
      <c r="JWE1364" s="76"/>
      <c r="JWF1364" s="76"/>
      <c r="JWG1364" s="76"/>
      <c r="JWH1364" s="76"/>
      <c r="JWI1364" s="76"/>
      <c r="JWJ1364" s="76"/>
      <c r="JWK1364" s="76"/>
      <c r="JWL1364" s="76"/>
      <c r="JWM1364" s="76"/>
      <c r="JWN1364" s="76"/>
      <c r="JWO1364" s="76"/>
      <c r="JWP1364" s="76"/>
      <c r="JWQ1364" s="76"/>
      <c r="JWR1364" s="76"/>
      <c r="JWS1364" s="76"/>
      <c r="JWT1364" s="76"/>
      <c r="JWU1364" s="76"/>
      <c r="JWV1364" s="76"/>
      <c r="JWW1364" s="76"/>
      <c r="JWX1364" s="76"/>
      <c r="JWY1364" s="76"/>
      <c r="JWZ1364" s="76"/>
      <c r="JXA1364" s="76"/>
      <c r="JXB1364" s="76"/>
      <c r="JXC1364" s="76"/>
      <c r="JXD1364" s="76"/>
      <c r="JXE1364" s="76"/>
      <c r="JXF1364" s="76"/>
      <c r="JXG1364" s="76"/>
      <c r="JXH1364" s="76"/>
      <c r="JXI1364" s="76"/>
      <c r="JXJ1364" s="76"/>
      <c r="JXK1364" s="76"/>
      <c r="JXL1364" s="76"/>
      <c r="JXM1364" s="76"/>
      <c r="JXN1364" s="76"/>
      <c r="JXO1364" s="76"/>
      <c r="JXP1364" s="76"/>
      <c r="JXQ1364" s="76"/>
      <c r="JXR1364" s="76"/>
      <c r="JXS1364" s="76"/>
      <c r="JXT1364" s="76"/>
      <c r="JXU1364" s="76"/>
      <c r="JXV1364" s="76"/>
      <c r="JXW1364" s="76"/>
      <c r="JXX1364" s="76"/>
      <c r="JXY1364" s="76"/>
      <c r="JXZ1364" s="76"/>
      <c r="JYA1364" s="76"/>
      <c r="JYB1364" s="76"/>
      <c r="JYC1364" s="76"/>
      <c r="JYD1364" s="76"/>
      <c r="JYE1364" s="76"/>
      <c r="JYF1364" s="76"/>
      <c r="JYG1364" s="76"/>
      <c r="JYH1364" s="76"/>
      <c r="JYI1364" s="76"/>
      <c r="JYJ1364" s="76"/>
      <c r="JYK1364" s="76"/>
      <c r="JYL1364" s="76"/>
      <c r="JYM1364" s="76"/>
      <c r="JYN1364" s="76"/>
      <c r="JYO1364" s="76"/>
      <c r="JYP1364" s="76"/>
      <c r="JYQ1364" s="76"/>
      <c r="JYR1364" s="76"/>
      <c r="JYS1364" s="50"/>
      <c r="JYT1364" s="76"/>
      <c r="JYU1364" s="76"/>
      <c r="JYV1364" s="76"/>
      <c r="JYW1364" s="76"/>
      <c r="JYX1364" s="76"/>
      <c r="JYY1364" s="76"/>
      <c r="JYZ1364" s="76"/>
      <c r="JZA1364" s="76"/>
      <c r="JZB1364" s="76"/>
      <c r="JZC1364" s="76"/>
      <c r="JZD1364" s="76"/>
      <c r="JZE1364" s="76"/>
      <c r="JZF1364" s="76"/>
      <c r="JZG1364" s="76"/>
      <c r="JZH1364" s="76"/>
      <c r="JZI1364" s="76"/>
      <c r="JZJ1364" s="76"/>
      <c r="JZK1364" s="76"/>
      <c r="JZL1364" s="76"/>
      <c r="JZM1364" s="76"/>
      <c r="JZN1364" s="76"/>
      <c r="JZO1364" s="76"/>
      <c r="JZP1364" s="76"/>
      <c r="JZQ1364" s="76"/>
      <c r="JZR1364" s="76"/>
      <c r="JZS1364" s="76"/>
      <c r="JZT1364" s="76"/>
      <c r="JZU1364" s="76"/>
      <c r="JZV1364" s="76"/>
      <c r="JZW1364" s="76"/>
      <c r="JZX1364" s="76"/>
      <c r="JZY1364" s="76"/>
      <c r="JZZ1364" s="76"/>
      <c r="KAA1364" s="76"/>
      <c r="KAB1364" s="76"/>
      <c r="KAC1364" s="76"/>
      <c r="KAD1364" s="76"/>
      <c r="KAE1364" s="76"/>
      <c r="KAF1364" s="76"/>
      <c r="KAG1364" s="76"/>
      <c r="KAH1364" s="76"/>
      <c r="KAI1364" s="76"/>
      <c r="KAJ1364" s="76"/>
      <c r="KAK1364" s="76"/>
      <c r="KAL1364" s="76"/>
      <c r="KAM1364" s="76"/>
      <c r="KAN1364" s="76"/>
      <c r="KAO1364" s="76"/>
      <c r="KAP1364" s="76"/>
      <c r="KAQ1364" s="76"/>
      <c r="KAR1364" s="76"/>
      <c r="KAS1364" s="76"/>
      <c r="KAT1364" s="76"/>
      <c r="KAU1364" s="76"/>
      <c r="KAV1364" s="76"/>
      <c r="KAW1364" s="76"/>
      <c r="KAX1364" s="76"/>
      <c r="KAY1364" s="76"/>
      <c r="KAZ1364" s="76"/>
      <c r="KBA1364" s="76"/>
      <c r="KBB1364" s="76"/>
      <c r="KBC1364" s="76"/>
      <c r="KBD1364" s="76"/>
      <c r="KBE1364" s="76"/>
      <c r="KBF1364" s="76"/>
      <c r="KBG1364" s="76"/>
      <c r="KBH1364" s="76"/>
      <c r="KBI1364" s="76"/>
      <c r="KBJ1364" s="76"/>
      <c r="KBK1364" s="76"/>
      <c r="KBL1364" s="76"/>
      <c r="KBM1364" s="76"/>
      <c r="KBN1364" s="76"/>
      <c r="KBO1364" s="76"/>
      <c r="KBP1364" s="76"/>
      <c r="KBQ1364" s="76"/>
      <c r="KBR1364" s="76"/>
      <c r="KBS1364" s="76"/>
      <c r="KBT1364" s="76"/>
      <c r="KBU1364" s="76"/>
      <c r="KBV1364" s="76"/>
      <c r="KBW1364" s="76"/>
      <c r="KBX1364" s="76"/>
      <c r="KBY1364" s="76"/>
      <c r="KBZ1364" s="76"/>
      <c r="KCA1364" s="76"/>
      <c r="KCB1364" s="76"/>
      <c r="KCC1364" s="76"/>
      <c r="KCD1364" s="76"/>
      <c r="KCE1364" s="76"/>
      <c r="KCF1364" s="76"/>
      <c r="KCG1364" s="76"/>
      <c r="KCH1364" s="76"/>
      <c r="KCI1364" s="76"/>
      <c r="KCJ1364" s="76"/>
      <c r="KCK1364" s="76"/>
      <c r="KCL1364" s="76"/>
      <c r="KCM1364" s="76"/>
      <c r="KCN1364" s="76"/>
      <c r="KCO1364" s="76"/>
      <c r="KCP1364" s="76"/>
      <c r="KCQ1364" s="76"/>
      <c r="KCR1364" s="76"/>
      <c r="KCS1364" s="76"/>
      <c r="KCT1364" s="76"/>
      <c r="KCU1364" s="76"/>
      <c r="KCV1364" s="76"/>
      <c r="KCW1364" s="76"/>
      <c r="KCX1364" s="76"/>
      <c r="KCY1364" s="76"/>
      <c r="KCZ1364" s="76"/>
      <c r="KDA1364" s="76"/>
      <c r="KDB1364" s="76"/>
      <c r="KDC1364" s="76"/>
      <c r="KDD1364" s="76"/>
      <c r="KDE1364" s="76"/>
      <c r="KDF1364" s="76"/>
      <c r="KDG1364" s="76"/>
      <c r="KDH1364" s="76"/>
      <c r="KDI1364" s="76"/>
      <c r="KDJ1364" s="76"/>
      <c r="KDK1364" s="76"/>
      <c r="KDL1364" s="76"/>
      <c r="KDM1364" s="76"/>
      <c r="KDN1364" s="76"/>
      <c r="KDO1364" s="76"/>
      <c r="KDP1364" s="76"/>
      <c r="KDQ1364" s="76"/>
      <c r="KDR1364" s="76"/>
      <c r="KDS1364" s="76"/>
      <c r="KDT1364" s="76"/>
      <c r="KDU1364" s="76"/>
      <c r="KDV1364" s="76"/>
      <c r="KDW1364" s="76"/>
      <c r="KDX1364" s="76"/>
      <c r="KDY1364" s="76"/>
      <c r="KDZ1364" s="76"/>
      <c r="KEA1364" s="76"/>
      <c r="KEB1364" s="76"/>
      <c r="KEC1364" s="76"/>
      <c r="KED1364" s="76"/>
      <c r="KEE1364" s="76"/>
      <c r="KEF1364" s="76"/>
      <c r="KEG1364" s="76"/>
      <c r="KEH1364" s="76"/>
      <c r="KEI1364" s="76"/>
      <c r="KEJ1364" s="76"/>
      <c r="KEK1364" s="76"/>
      <c r="KEL1364" s="76"/>
      <c r="KEM1364" s="76"/>
      <c r="KEN1364" s="76"/>
      <c r="KEO1364" s="76"/>
      <c r="KEP1364" s="76"/>
      <c r="KEQ1364" s="76"/>
      <c r="KER1364" s="76"/>
      <c r="KES1364" s="76"/>
      <c r="KET1364" s="76"/>
      <c r="KEU1364" s="76"/>
      <c r="KEV1364" s="76"/>
      <c r="KEW1364" s="76"/>
      <c r="KEX1364" s="76"/>
      <c r="KEY1364" s="76"/>
      <c r="KEZ1364" s="76"/>
      <c r="KFA1364" s="76"/>
      <c r="KFB1364" s="76"/>
      <c r="KFC1364" s="76"/>
      <c r="KFD1364" s="76"/>
      <c r="KFE1364" s="76"/>
      <c r="KFF1364" s="76"/>
      <c r="KFG1364" s="76"/>
      <c r="KFH1364" s="76"/>
      <c r="KFI1364" s="76"/>
      <c r="KFJ1364" s="76"/>
      <c r="KFK1364" s="76"/>
      <c r="KFL1364" s="76"/>
      <c r="KFM1364" s="76"/>
      <c r="KFN1364" s="76"/>
      <c r="KFO1364" s="76"/>
      <c r="KFP1364" s="76"/>
      <c r="KFQ1364" s="76"/>
      <c r="KFR1364" s="76"/>
      <c r="KFS1364" s="76"/>
      <c r="KFT1364" s="76"/>
      <c r="KFU1364" s="76"/>
      <c r="KFV1364" s="76"/>
      <c r="KFW1364" s="76"/>
      <c r="KFX1364" s="76"/>
      <c r="KFY1364" s="76"/>
      <c r="KFZ1364" s="76"/>
      <c r="KGA1364" s="76"/>
      <c r="KGB1364" s="76"/>
      <c r="KGC1364" s="76"/>
      <c r="KGD1364" s="76"/>
      <c r="KGE1364" s="76"/>
      <c r="KGF1364" s="76"/>
      <c r="KGG1364" s="76"/>
      <c r="KGH1364" s="76"/>
      <c r="KGI1364" s="76"/>
      <c r="KGJ1364" s="76"/>
      <c r="KGK1364" s="76"/>
      <c r="KGL1364" s="76"/>
      <c r="KGM1364" s="76"/>
      <c r="KGN1364" s="76"/>
      <c r="KGO1364" s="76"/>
      <c r="KGP1364" s="76"/>
      <c r="KGQ1364" s="76"/>
      <c r="KGR1364" s="76"/>
      <c r="KGS1364" s="76"/>
      <c r="KGT1364" s="76"/>
      <c r="KGU1364" s="76"/>
      <c r="KGV1364" s="76"/>
      <c r="KGW1364" s="76"/>
      <c r="KGX1364" s="76"/>
      <c r="KGY1364" s="76"/>
      <c r="KGZ1364" s="76"/>
      <c r="KHA1364" s="76"/>
      <c r="KHB1364" s="76"/>
      <c r="KHC1364" s="76"/>
      <c r="KHD1364" s="76"/>
      <c r="KHE1364" s="76"/>
      <c r="KHF1364" s="76"/>
      <c r="KHG1364" s="76"/>
      <c r="KHH1364" s="76"/>
      <c r="KHI1364" s="76"/>
      <c r="KHJ1364" s="76"/>
      <c r="KHK1364" s="76"/>
      <c r="KHL1364" s="76"/>
      <c r="KHM1364" s="76"/>
      <c r="KHN1364" s="76"/>
      <c r="KHO1364" s="76"/>
      <c r="KHP1364" s="76"/>
      <c r="KHQ1364" s="76"/>
      <c r="KHR1364" s="76"/>
      <c r="KHS1364" s="76"/>
      <c r="KHT1364" s="76"/>
      <c r="KHU1364" s="76"/>
      <c r="KHV1364" s="76"/>
      <c r="KHW1364" s="76"/>
      <c r="KHX1364" s="76"/>
      <c r="KHY1364" s="76"/>
      <c r="KHZ1364" s="76"/>
      <c r="KIA1364" s="76"/>
      <c r="KIB1364" s="76"/>
      <c r="KIC1364" s="76"/>
      <c r="KID1364" s="76"/>
      <c r="KIE1364" s="76"/>
      <c r="KIF1364" s="76"/>
      <c r="KIG1364" s="76"/>
      <c r="KIH1364" s="76"/>
      <c r="KII1364" s="76"/>
      <c r="KIJ1364" s="76"/>
      <c r="KIK1364" s="76"/>
      <c r="KIL1364" s="76"/>
      <c r="KIM1364" s="76"/>
      <c r="KIN1364" s="76"/>
      <c r="KIO1364" s="50"/>
      <c r="KIP1364" s="76"/>
      <c r="KIQ1364" s="76"/>
      <c r="KIR1364" s="76"/>
      <c r="KIS1364" s="76"/>
      <c r="KIT1364" s="76"/>
      <c r="KIU1364" s="76"/>
      <c r="KIV1364" s="76"/>
      <c r="KIW1364" s="76"/>
      <c r="KIX1364" s="76"/>
      <c r="KIY1364" s="76"/>
      <c r="KIZ1364" s="76"/>
      <c r="KJA1364" s="76"/>
      <c r="KJB1364" s="76"/>
      <c r="KJC1364" s="76"/>
      <c r="KJD1364" s="76"/>
      <c r="KJE1364" s="76"/>
      <c r="KJF1364" s="76"/>
      <c r="KJG1364" s="76"/>
      <c r="KJH1364" s="76"/>
      <c r="KJI1364" s="76"/>
      <c r="KJJ1364" s="76"/>
      <c r="KJK1364" s="76"/>
      <c r="KJL1364" s="76"/>
      <c r="KJM1364" s="76"/>
      <c r="KJN1364" s="76"/>
      <c r="KJO1364" s="76"/>
      <c r="KJP1364" s="76"/>
      <c r="KJQ1364" s="76"/>
      <c r="KJR1364" s="76"/>
      <c r="KJS1364" s="76"/>
      <c r="KJT1364" s="76"/>
      <c r="KJU1364" s="76"/>
      <c r="KJV1364" s="76"/>
      <c r="KJW1364" s="76"/>
      <c r="KJX1364" s="76"/>
      <c r="KJY1364" s="76"/>
      <c r="KJZ1364" s="76"/>
      <c r="KKA1364" s="76"/>
      <c r="KKB1364" s="76"/>
      <c r="KKC1364" s="76"/>
      <c r="KKD1364" s="76"/>
      <c r="KKE1364" s="76"/>
      <c r="KKF1364" s="76"/>
      <c r="KKG1364" s="76"/>
      <c r="KKH1364" s="76"/>
      <c r="KKI1364" s="76"/>
      <c r="KKJ1364" s="76"/>
      <c r="KKK1364" s="76"/>
      <c r="KKL1364" s="76"/>
      <c r="KKM1364" s="76"/>
      <c r="KKN1364" s="76"/>
      <c r="KKO1364" s="76"/>
      <c r="KKP1364" s="76"/>
      <c r="KKQ1364" s="76"/>
      <c r="KKR1364" s="76"/>
      <c r="KKS1364" s="76"/>
      <c r="KKT1364" s="76"/>
      <c r="KKU1364" s="76"/>
      <c r="KKV1364" s="76"/>
      <c r="KKW1364" s="76"/>
      <c r="KKX1364" s="76"/>
      <c r="KKY1364" s="76"/>
      <c r="KKZ1364" s="76"/>
      <c r="KLA1364" s="76"/>
      <c r="KLB1364" s="76"/>
      <c r="KLC1364" s="76"/>
      <c r="KLD1364" s="76"/>
      <c r="KLE1364" s="76"/>
      <c r="KLF1364" s="76"/>
      <c r="KLG1364" s="76"/>
      <c r="KLH1364" s="76"/>
      <c r="KLI1364" s="76"/>
      <c r="KLJ1364" s="76"/>
      <c r="KLK1364" s="76"/>
      <c r="KLL1364" s="76"/>
      <c r="KLM1364" s="76"/>
      <c r="KLN1364" s="76"/>
      <c r="KLO1364" s="76"/>
      <c r="KLP1364" s="76"/>
      <c r="KLQ1364" s="76"/>
      <c r="KLR1364" s="76"/>
      <c r="KLS1364" s="76"/>
      <c r="KLT1364" s="76"/>
      <c r="KLU1364" s="76"/>
      <c r="KLV1364" s="76"/>
      <c r="KLW1364" s="76"/>
      <c r="KLX1364" s="76"/>
      <c r="KLY1364" s="76"/>
      <c r="KLZ1364" s="76"/>
      <c r="KMA1364" s="76"/>
      <c r="KMB1364" s="76"/>
      <c r="KMC1364" s="76"/>
      <c r="KMD1364" s="76"/>
      <c r="KME1364" s="76"/>
      <c r="KMF1364" s="76"/>
      <c r="KMG1364" s="76"/>
      <c r="KMH1364" s="76"/>
      <c r="KMI1364" s="76"/>
      <c r="KMJ1364" s="76"/>
      <c r="KMK1364" s="76"/>
      <c r="KML1364" s="76"/>
      <c r="KMM1364" s="76"/>
      <c r="KMN1364" s="76"/>
      <c r="KMO1364" s="76"/>
      <c r="KMP1364" s="76"/>
      <c r="KMQ1364" s="76"/>
      <c r="KMR1364" s="76"/>
      <c r="KMS1364" s="76"/>
      <c r="KMT1364" s="76"/>
      <c r="KMU1364" s="76"/>
      <c r="KMV1364" s="76"/>
      <c r="KMW1364" s="76"/>
      <c r="KMX1364" s="76"/>
      <c r="KMY1364" s="76"/>
      <c r="KMZ1364" s="76"/>
      <c r="KNA1364" s="76"/>
      <c r="KNB1364" s="76"/>
      <c r="KNC1364" s="76"/>
      <c r="KND1364" s="76"/>
      <c r="KNE1364" s="76"/>
      <c r="KNF1364" s="76"/>
      <c r="KNG1364" s="76"/>
      <c r="KNH1364" s="76"/>
      <c r="KNI1364" s="76"/>
      <c r="KNJ1364" s="76"/>
      <c r="KNK1364" s="76"/>
      <c r="KNL1364" s="76"/>
      <c r="KNM1364" s="76"/>
      <c r="KNN1364" s="76"/>
      <c r="KNO1364" s="76"/>
      <c r="KNP1364" s="76"/>
      <c r="KNQ1364" s="76"/>
      <c r="KNR1364" s="76"/>
      <c r="KNS1364" s="76"/>
      <c r="KNT1364" s="76"/>
      <c r="KNU1364" s="76"/>
      <c r="KNV1364" s="76"/>
      <c r="KNW1364" s="76"/>
      <c r="KNX1364" s="76"/>
      <c r="KNY1364" s="76"/>
      <c r="KNZ1364" s="76"/>
      <c r="KOA1364" s="76"/>
      <c r="KOB1364" s="76"/>
      <c r="KOC1364" s="76"/>
      <c r="KOD1364" s="76"/>
      <c r="KOE1364" s="76"/>
      <c r="KOF1364" s="76"/>
      <c r="KOG1364" s="76"/>
      <c r="KOH1364" s="76"/>
      <c r="KOI1364" s="76"/>
      <c r="KOJ1364" s="76"/>
      <c r="KOK1364" s="76"/>
      <c r="KOL1364" s="76"/>
      <c r="KOM1364" s="76"/>
      <c r="KON1364" s="76"/>
      <c r="KOO1364" s="76"/>
      <c r="KOP1364" s="76"/>
      <c r="KOQ1364" s="76"/>
      <c r="KOR1364" s="76"/>
      <c r="KOS1364" s="76"/>
      <c r="KOT1364" s="76"/>
      <c r="KOU1364" s="76"/>
      <c r="KOV1364" s="76"/>
      <c r="KOW1364" s="76"/>
      <c r="KOX1364" s="76"/>
      <c r="KOY1364" s="76"/>
      <c r="KOZ1364" s="76"/>
      <c r="KPA1364" s="76"/>
      <c r="KPB1364" s="76"/>
      <c r="KPC1364" s="76"/>
      <c r="KPD1364" s="76"/>
      <c r="KPE1364" s="76"/>
      <c r="KPF1364" s="76"/>
      <c r="KPG1364" s="76"/>
      <c r="KPH1364" s="76"/>
      <c r="KPI1364" s="76"/>
      <c r="KPJ1364" s="76"/>
      <c r="KPK1364" s="76"/>
      <c r="KPL1364" s="76"/>
      <c r="KPM1364" s="76"/>
      <c r="KPN1364" s="76"/>
      <c r="KPO1364" s="76"/>
      <c r="KPP1364" s="76"/>
      <c r="KPQ1364" s="76"/>
      <c r="KPR1364" s="76"/>
      <c r="KPS1364" s="76"/>
      <c r="KPT1364" s="76"/>
      <c r="KPU1364" s="76"/>
      <c r="KPV1364" s="76"/>
      <c r="KPW1364" s="76"/>
      <c r="KPX1364" s="76"/>
      <c r="KPY1364" s="76"/>
      <c r="KPZ1364" s="76"/>
      <c r="KQA1364" s="76"/>
      <c r="KQB1364" s="76"/>
      <c r="KQC1364" s="76"/>
      <c r="KQD1364" s="76"/>
      <c r="KQE1364" s="76"/>
      <c r="KQF1364" s="76"/>
      <c r="KQG1364" s="76"/>
      <c r="KQH1364" s="76"/>
      <c r="KQI1364" s="76"/>
      <c r="KQJ1364" s="76"/>
      <c r="KQK1364" s="76"/>
      <c r="KQL1364" s="76"/>
      <c r="KQM1364" s="76"/>
      <c r="KQN1364" s="76"/>
      <c r="KQO1364" s="76"/>
      <c r="KQP1364" s="76"/>
      <c r="KQQ1364" s="76"/>
      <c r="KQR1364" s="76"/>
      <c r="KQS1364" s="76"/>
      <c r="KQT1364" s="76"/>
      <c r="KQU1364" s="76"/>
      <c r="KQV1364" s="76"/>
      <c r="KQW1364" s="76"/>
      <c r="KQX1364" s="76"/>
      <c r="KQY1364" s="76"/>
      <c r="KQZ1364" s="76"/>
      <c r="KRA1364" s="76"/>
      <c r="KRB1364" s="76"/>
      <c r="KRC1364" s="76"/>
      <c r="KRD1364" s="76"/>
      <c r="KRE1364" s="76"/>
      <c r="KRF1364" s="76"/>
      <c r="KRG1364" s="76"/>
      <c r="KRH1364" s="76"/>
      <c r="KRI1364" s="76"/>
      <c r="KRJ1364" s="76"/>
      <c r="KRK1364" s="76"/>
      <c r="KRL1364" s="76"/>
      <c r="KRM1364" s="76"/>
      <c r="KRN1364" s="76"/>
      <c r="KRO1364" s="76"/>
      <c r="KRP1364" s="76"/>
      <c r="KRQ1364" s="76"/>
      <c r="KRR1364" s="76"/>
      <c r="KRS1364" s="76"/>
      <c r="KRT1364" s="76"/>
      <c r="KRU1364" s="76"/>
      <c r="KRV1364" s="76"/>
      <c r="KRW1364" s="76"/>
      <c r="KRX1364" s="76"/>
      <c r="KRY1364" s="76"/>
      <c r="KRZ1364" s="76"/>
      <c r="KSA1364" s="76"/>
      <c r="KSB1364" s="76"/>
      <c r="KSC1364" s="76"/>
      <c r="KSD1364" s="76"/>
      <c r="KSE1364" s="76"/>
      <c r="KSF1364" s="76"/>
      <c r="KSG1364" s="76"/>
      <c r="KSH1364" s="76"/>
      <c r="KSI1364" s="76"/>
      <c r="KSJ1364" s="76"/>
      <c r="KSK1364" s="50"/>
      <c r="KSL1364" s="76"/>
      <c r="KSM1364" s="76"/>
      <c r="KSN1364" s="76"/>
      <c r="KSO1364" s="76"/>
      <c r="KSP1364" s="76"/>
      <c r="KSQ1364" s="76"/>
      <c r="KSR1364" s="76"/>
      <c r="KSS1364" s="76"/>
      <c r="KST1364" s="76"/>
      <c r="KSU1364" s="76"/>
      <c r="KSV1364" s="76"/>
      <c r="KSW1364" s="76"/>
      <c r="KSX1364" s="76"/>
      <c r="KSY1364" s="76"/>
      <c r="KSZ1364" s="76"/>
      <c r="KTA1364" s="76"/>
      <c r="KTB1364" s="76"/>
      <c r="KTC1364" s="76"/>
      <c r="KTD1364" s="76"/>
      <c r="KTE1364" s="76"/>
      <c r="KTF1364" s="76"/>
      <c r="KTG1364" s="76"/>
      <c r="KTH1364" s="76"/>
      <c r="KTI1364" s="76"/>
      <c r="KTJ1364" s="76"/>
      <c r="KTK1364" s="76"/>
      <c r="KTL1364" s="76"/>
      <c r="KTM1364" s="76"/>
      <c r="KTN1364" s="76"/>
      <c r="KTO1364" s="76"/>
      <c r="KTP1364" s="76"/>
      <c r="KTQ1364" s="76"/>
      <c r="KTR1364" s="76"/>
      <c r="KTS1364" s="76"/>
      <c r="KTT1364" s="76"/>
      <c r="KTU1364" s="76"/>
      <c r="KTV1364" s="76"/>
      <c r="KTW1364" s="76"/>
      <c r="KTX1364" s="76"/>
      <c r="KTY1364" s="76"/>
      <c r="KTZ1364" s="76"/>
      <c r="KUA1364" s="76"/>
      <c r="KUB1364" s="76"/>
      <c r="KUC1364" s="76"/>
      <c r="KUD1364" s="76"/>
      <c r="KUE1364" s="76"/>
      <c r="KUF1364" s="76"/>
      <c r="KUG1364" s="76"/>
      <c r="KUH1364" s="76"/>
      <c r="KUI1364" s="76"/>
      <c r="KUJ1364" s="76"/>
      <c r="KUK1364" s="76"/>
      <c r="KUL1364" s="76"/>
      <c r="KUM1364" s="76"/>
      <c r="KUN1364" s="76"/>
      <c r="KUO1364" s="76"/>
      <c r="KUP1364" s="76"/>
      <c r="KUQ1364" s="76"/>
      <c r="KUR1364" s="76"/>
      <c r="KUS1364" s="76"/>
      <c r="KUT1364" s="76"/>
      <c r="KUU1364" s="76"/>
      <c r="KUV1364" s="76"/>
      <c r="KUW1364" s="76"/>
      <c r="KUX1364" s="76"/>
      <c r="KUY1364" s="76"/>
      <c r="KUZ1364" s="76"/>
      <c r="KVA1364" s="76"/>
      <c r="KVB1364" s="76"/>
      <c r="KVC1364" s="76"/>
      <c r="KVD1364" s="76"/>
      <c r="KVE1364" s="76"/>
      <c r="KVF1364" s="76"/>
      <c r="KVG1364" s="76"/>
      <c r="KVH1364" s="76"/>
      <c r="KVI1364" s="76"/>
      <c r="KVJ1364" s="76"/>
      <c r="KVK1364" s="76"/>
      <c r="KVL1364" s="76"/>
      <c r="KVM1364" s="76"/>
      <c r="KVN1364" s="76"/>
      <c r="KVO1364" s="76"/>
      <c r="KVP1364" s="76"/>
      <c r="KVQ1364" s="76"/>
      <c r="KVR1364" s="76"/>
      <c r="KVS1364" s="76"/>
      <c r="KVT1364" s="76"/>
      <c r="KVU1364" s="76"/>
      <c r="KVV1364" s="76"/>
      <c r="KVW1364" s="76"/>
      <c r="KVX1364" s="76"/>
      <c r="KVY1364" s="76"/>
      <c r="KVZ1364" s="76"/>
      <c r="KWA1364" s="76"/>
      <c r="KWB1364" s="76"/>
      <c r="KWC1364" s="76"/>
      <c r="KWD1364" s="76"/>
      <c r="KWE1364" s="76"/>
      <c r="KWF1364" s="76"/>
      <c r="KWG1364" s="76"/>
      <c r="KWH1364" s="76"/>
      <c r="KWI1364" s="76"/>
      <c r="KWJ1364" s="76"/>
      <c r="KWK1364" s="76"/>
      <c r="KWL1364" s="76"/>
      <c r="KWM1364" s="76"/>
      <c r="KWN1364" s="76"/>
      <c r="KWO1364" s="76"/>
      <c r="KWP1364" s="76"/>
      <c r="KWQ1364" s="76"/>
      <c r="KWR1364" s="76"/>
      <c r="KWS1364" s="76"/>
      <c r="KWT1364" s="76"/>
      <c r="KWU1364" s="76"/>
      <c r="KWV1364" s="76"/>
      <c r="KWW1364" s="76"/>
      <c r="KWX1364" s="76"/>
      <c r="KWY1364" s="76"/>
      <c r="KWZ1364" s="76"/>
      <c r="KXA1364" s="76"/>
      <c r="KXB1364" s="76"/>
      <c r="KXC1364" s="76"/>
      <c r="KXD1364" s="76"/>
      <c r="KXE1364" s="76"/>
      <c r="KXF1364" s="76"/>
      <c r="KXG1364" s="76"/>
      <c r="KXH1364" s="76"/>
      <c r="KXI1364" s="76"/>
      <c r="KXJ1364" s="76"/>
      <c r="KXK1364" s="76"/>
      <c r="KXL1364" s="76"/>
      <c r="KXM1364" s="76"/>
      <c r="KXN1364" s="76"/>
      <c r="KXO1364" s="76"/>
      <c r="KXP1364" s="76"/>
      <c r="KXQ1364" s="76"/>
      <c r="KXR1364" s="76"/>
      <c r="KXS1364" s="76"/>
      <c r="KXT1364" s="76"/>
      <c r="KXU1364" s="76"/>
      <c r="KXV1364" s="76"/>
      <c r="KXW1364" s="76"/>
      <c r="KXX1364" s="76"/>
      <c r="KXY1364" s="76"/>
      <c r="KXZ1364" s="76"/>
      <c r="KYA1364" s="76"/>
      <c r="KYB1364" s="76"/>
      <c r="KYC1364" s="76"/>
      <c r="KYD1364" s="76"/>
      <c r="KYE1364" s="76"/>
      <c r="KYF1364" s="76"/>
      <c r="KYG1364" s="76"/>
      <c r="KYH1364" s="76"/>
      <c r="KYI1364" s="76"/>
      <c r="KYJ1364" s="76"/>
      <c r="KYK1364" s="76"/>
      <c r="KYL1364" s="76"/>
      <c r="KYM1364" s="76"/>
      <c r="KYN1364" s="76"/>
      <c r="KYO1364" s="76"/>
      <c r="KYP1364" s="76"/>
      <c r="KYQ1364" s="76"/>
      <c r="KYR1364" s="76"/>
      <c r="KYS1364" s="76"/>
      <c r="KYT1364" s="76"/>
      <c r="KYU1364" s="76"/>
      <c r="KYV1364" s="76"/>
      <c r="KYW1364" s="76"/>
      <c r="KYX1364" s="76"/>
      <c r="KYY1364" s="76"/>
      <c r="KYZ1364" s="76"/>
      <c r="KZA1364" s="76"/>
      <c r="KZB1364" s="76"/>
      <c r="KZC1364" s="76"/>
      <c r="KZD1364" s="76"/>
      <c r="KZE1364" s="76"/>
      <c r="KZF1364" s="76"/>
      <c r="KZG1364" s="76"/>
      <c r="KZH1364" s="76"/>
      <c r="KZI1364" s="76"/>
      <c r="KZJ1364" s="76"/>
      <c r="KZK1364" s="76"/>
      <c r="KZL1364" s="76"/>
      <c r="KZM1364" s="76"/>
      <c r="KZN1364" s="76"/>
      <c r="KZO1364" s="76"/>
      <c r="KZP1364" s="76"/>
      <c r="KZQ1364" s="76"/>
      <c r="KZR1364" s="76"/>
      <c r="KZS1364" s="76"/>
      <c r="KZT1364" s="76"/>
      <c r="KZU1364" s="76"/>
      <c r="KZV1364" s="76"/>
      <c r="KZW1364" s="76"/>
      <c r="KZX1364" s="76"/>
      <c r="KZY1364" s="76"/>
      <c r="KZZ1364" s="76"/>
      <c r="LAA1364" s="76"/>
      <c r="LAB1364" s="76"/>
      <c r="LAC1364" s="76"/>
      <c r="LAD1364" s="76"/>
      <c r="LAE1364" s="76"/>
      <c r="LAF1364" s="76"/>
      <c r="LAG1364" s="76"/>
      <c r="LAH1364" s="76"/>
      <c r="LAI1364" s="76"/>
      <c r="LAJ1364" s="76"/>
      <c r="LAK1364" s="76"/>
      <c r="LAL1364" s="76"/>
      <c r="LAM1364" s="76"/>
      <c r="LAN1364" s="76"/>
      <c r="LAO1364" s="76"/>
      <c r="LAP1364" s="76"/>
      <c r="LAQ1364" s="76"/>
      <c r="LAR1364" s="76"/>
      <c r="LAS1364" s="76"/>
      <c r="LAT1364" s="76"/>
      <c r="LAU1364" s="76"/>
      <c r="LAV1364" s="76"/>
      <c r="LAW1364" s="76"/>
      <c r="LAX1364" s="76"/>
      <c r="LAY1364" s="76"/>
      <c r="LAZ1364" s="76"/>
      <c r="LBA1364" s="76"/>
      <c r="LBB1364" s="76"/>
      <c r="LBC1364" s="76"/>
      <c r="LBD1364" s="76"/>
      <c r="LBE1364" s="76"/>
      <c r="LBF1364" s="76"/>
      <c r="LBG1364" s="76"/>
      <c r="LBH1364" s="76"/>
      <c r="LBI1364" s="76"/>
      <c r="LBJ1364" s="76"/>
      <c r="LBK1364" s="76"/>
      <c r="LBL1364" s="76"/>
      <c r="LBM1364" s="76"/>
      <c r="LBN1364" s="76"/>
      <c r="LBO1364" s="76"/>
      <c r="LBP1364" s="76"/>
      <c r="LBQ1364" s="76"/>
      <c r="LBR1364" s="76"/>
      <c r="LBS1364" s="76"/>
      <c r="LBT1364" s="76"/>
      <c r="LBU1364" s="76"/>
      <c r="LBV1364" s="76"/>
      <c r="LBW1364" s="76"/>
      <c r="LBX1364" s="76"/>
      <c r="LBY1364" s="76"/>
      <c r="LBZ1364" s="76"/>
      <c r="LCA1364" s="76"/>
      <c r="LCB1364" s="76"/>
      <c r="LCC1364" s="76"/>
      <c r="LCD1364" s="76"/>
      <c r="LCE1364" s="76"/>
      <c r="LCF1364" s="76"/>
      <c r="LCG1364" s="50"/>
      <c r="LCH1364" s="76"/>
      <c r="LCI1364" s="76"/>
      <c r="LCJ1364" s="76"/>
      <c r="LCK1364" s="76"/>
      <c r="LCL1364" s="76"/>
      <c r="LCM1364" s="76"/>
      <c r="LCN1364" s="76"/>
      <c r="LCO1364" s="76"/>
      <c r="LCP1364" s="76"/>
      <c r="LCQ1364" s="76"/>
      <c r="LCR1364" s="76"/>
      <c r="LCS1364" s="76"/>
      <c r="LCT1364" s="76"/>
      <c r="LCU1364" s="76"/>
      <c r="LCV1364" s="76"/>
      <c r="LCW1364" s="76"/>
      <c r="LCX1364" s="76"/>
      <c r="LCY1364" s="76"/>
      <c r="LCZ1364" s="76"/>
      <c r="LDA1364" s="76"/>
      <c r="LDB1364" s="76"/>
      <c r="LDC1364" s="76"/>
      <c r="LDD1364" s="76"/>
      <c r="LDE1364" s="76"/>
      <c r="LDF1364" s="76"/>
      <c r="LDG1364" s="76"/>
      <c r="LDH1364" s="76"/>
      <c r="LDI1364" s="76"/>
      <c r="LDJ1364" s="76"/>
      <c r="LDK1364" s="76"/>
      <c r="LDL1364" s="76"/>
      <c r="LDM1364" s="76"/>
      <c r="LDN1364" s="76"/>
      <c r="LDO1364" s="76"/>
      <c r="LDP1364" s="76"/>
      <c r="LDQ1364" s="76"/>
      <c r="LDR1364" s="76"/>
      <c r="LDS1364" s="76"/>
      <c r="LDT1364" s="76"/>
      <c r="LDU1364" s="76"/>
      <c r="LDV1364" s="76"/>
      <c r="LDW1364" s="76"/>
      <c r="LDX1364" s="76"/>
      <c r="LDY1364" s="76"/>
      <c r="LDZ1364" s="76"/>
      <c r="LEA1364" s="76"/>
      <c r="LEB1364" s="76"/>
      <c r="LEC1364" s="76"/>
      <c r="LED1364" s="76"/>
      <c r="LEE1364" s="76"/>
      <c r="LEF1364" s="76"/>
      <c r="LEG1364" s="76"/>
      <c r="LEH1364" s="76"/>
      <c r="LEI1364" s="76"/>
      <c r="LEJ1364" s="76"/>
      <c r="LEK1364" s="76"/>
      <c r="LEL1364" s="76"/>
      <c r="LEM1364" s="76"/>
      <c r="LEN1364" s="76"/>
      <c r="LEO1364" s="76"/>
      <c r="LEP1364" s="76"/>
      <c r="LEQ1364" s="76"/>
      <c r="LER1364" s="76"/>
      <c r="LES1364" s="76"/>
      <c r="LET1364" s="76"/>
      <c r="LEU1364" s="76"/>
      <c r="LEV1364" s="76"/>
      <c r="LEW1364" s="76"/>
      <c r="LEX1364" s="76"/>
      <c r="LEY1364" s="76"/>
      <c r="LEZ1364" s="76"/>
      <c r="LFA1364" s="76"/>
      <c r="LFB1364" s="76"/>
      <c r="LFC1364" s="76"/>
      <c r="LFD1364" s="76"/>
      <c r="LFE1364" s="76"/>
      <c r="LFF1364" s="76"/>
      <c r="LFG1364" s="76"/>
      <c r="LFH1364" s="76"/>
      <c r="LFI1364" s="76"/>
      <c r="LFJ1364" s="76"/>
      <c r="LFK1364" s="76"/>
      <c r="LFL1364" s="76"/>
      <c r="LFM1364" s="76"/>
      <c r="LFN1364" s="76"/>
      <c r="LFO1364" s="76"/>
      <c r="LFP1364" s="76"/>
      <c r="LFQ1364" s="76"/>
      <c r="LFR1364" s="76"/>
      <c r="LFS1364" s="76"/>
      <c r="LFT1364" s="76"/>
      <c r="LFU1364" s="76"/>
      <c r="LFV1364" s="76"/>
      <c r="LFW1364" s="76"/>
      <c r="LFX1364" s="76"/>
      <c r="LFY1364" s="76"/>
      <c r="LFZ1364" s="76"/>
      <c r="LGA1364" s="76"/>
      <c r="LGB1364" s="76"/>
      <c r="LGC1364" s="76"/>
      <c r="LGD1364" s="76"/>
      <c r="LGE1364" s="76"/>
      <c r="LGF1364" s="76"/>
      <c r="LGG1364" s="76"/>
      <c r="LGH1364" s="76"/>
      <c r="LGI1364" s="76"/>
      <c r="LGJ1364" s="76"/>
      <c r="LGK1364" s="76"/>
      <c r="LGL1364" s="76"/>
      <c r="LGM1364" s="76"/>
      <c r="LGN1364" s="76"/>
      <c r="LGO1364" s="76"/>
      <c r="LGP1364" s="76"/>
      <c r="LGQ1364" s="76"/>
      <c r="LGR1364" s="76"/>
      <c r="LGS1364" s="76"/>
      <c r="LGT1364" s="76"/>
      <c r="LGU1364" s="76"/>
      <c r="LGV1364" s="76"/>
      <c r="LGW1364" s="76"/>
      <c r="LGX1364" s="76"/>
      <c r="LGY1364" s="76"/>
      <c r="LGZ1364" s="76"/>
      <c r="LHA1364" s="76"/>
      <c r="LHB1364" s="76"/>
      <c r="LHC1364" s="76"/>
      <c r="LHD1364" s="76"/>
      <c r="LHE1364" s="76"/>
      <c r="LHF1364" s="76"/>
      <c r="LHG1364" s="76"/>
      <c r="LHH1364" s="76"/>
      <c r="LHI1364" s="76"/>
      <c r="LHJ1364" s="76"/>
      <c r="LHK1364" s="76"/>
      <c r="LHL1364" s="76"/>
      <c r="LHM1364" s="76"/>
      <c r="LHN1364" s="76"/>
      <c r="LHO1364" s="76"/>
      <c r="LHP1364" s="76"/>
      <c r="LHQ1364" s="76"/>
      <c r="LHR1364" s="76"/>
      <c r="LHS1364" s="76"/>
      <c r="LHT1364" s="76"/>
      <c r="LHU1364" s="76"/>
      <c r="LHV1364" s="76"/>
      <c r="LHW1364" s="76"/>
      <c r="LHX1364" s="76"/>
      <c r="LHY1364" s="76"/>
      <c r="LHZ1364" s="76"/>
      <c r="LIA1364" s="76"/>
      <c r="LIB1364" s="76"/>
      <c r="LIC1364" s="76"/>
      <c r="LID1364" s="76"/>
      <c r="LIE1364" s="76"/>
      <c r="LIF1364" s="76"/>
      <c r="LIG1364" s="76"/>
      <c r="LIH1364" s="76"/>
      <c r="LII1364" s="76"/>
      <c r="LIJ1364" s="76"/>
      <c r="LIK1364" s="76"/>
      <c r="LIL1364" s="76"/>
      <c r="LIM1364" s="76"/>
      <c r="LIN1364" s="76"/>
      <c r="LIO1364" s="76"/>
      <c r="LIP1364" s="76"/>
      <c r="LIQ1364" s="76"/>
      <c r="LIR1364" s="76"/>
      <c r="LIS1364" s="76"/>
      <c r="LIT1364" s="76"/>
      <c r="LIU1364" s="76"/>
      <c r="LIV1364" s="76"/>
      <c r="LIW1364" s="76"/>
      <c r="LIX1364" s="76"/>
      <c r="LIY1364" s="76"/>
      <c r="LIZ1364" s="76"/>
      <c r="LJA1364" s="76"/>
      <c r="LJB1364" s="76"/>
      <c r="LJC1364" s="76"/>
      <c r="LJD1364" s="76"/>
      <c r="LJE1364" s="76"/>
      <c r="LJF1364" s="76"/>
      <c r="LJG1364" s="76"/>
      <c r="LJH1364" s="76"/>
      <c r="LJI1364" s="76"/>
      <c r="LJJ1364" s="76"/>
      <c r="LJK1364" s="76"/>
      <c r="LJL1364" s="76"/>
      <c r="LJM1364" s="76"/>
      <c r="LJN1364" s="76"/>
      <c r="LJO1364" s="76"/>
      <c r="LJP1364" s="76"/>
      <c r="LJQ1364" s="76"/>
      <c r="LJR1364" s="76"/>
      <c r="LJS1364" s="76"/>
      <c r="LJT1364" s="76"/>
      <c r="LJU1364" s="76"/>
      <c r="LJV1364" s="76"/>
      <c r="LJW1364" s="76"/>
      <c r="LJX1364" s="76"/>
      <c r="LJY1364" s="76"/>
      <c r="LJZ1364" s="76"/>
      <c r="LKA1364" s="76"/>
      <c r="LKB1364" s="76"/>
      <c r="LKC1364" s="76"/>
      <c r="LKD1364" s="76"/>
      <c r="LKE1364" s="76"/>
      <c r="LKF1364" s="76"/>
      <c r="LKG1364" s="76"/>
      <c r="LKH1364" s="76"/>
      <c r="LKI1364" s="76"/>
      <c r="LKJ1364" s="76"/>
      <c r="LKK1364" s="76"/>
      <c r="LKL1364" s="76"/>
      <c r="LKM1364" s="76"/>
      <c r="LKN1364" s="76"/>
      <c r="LKO1364" s="76"/>
      <c r="LKP1364" s="76"/>
      <c r="LKQ1364" s="76"/>
      <c r="LKR1364" s="76"/>
      <c r="LKS1364" s="76"/>
      <c r="LKT1364" s="76"/>
      <c r="LKU1364" s="76"/>
      <c r="LKV1364" s="76"/>
      <c r="LKW1364" s="76"/>
      <c r="LKX1364" s="76"/>
      <c r="LKY1364" s="76"/>
      <c r="LKZ1364" s="76"/>
      <c r="LLA1364" s="76"/>
      <c r="LLB1364" s="76"/>
      <c r="LLC1364" s="76"/>
      <c r="LLD1364" s="76"/>
      <c r="LLE1364" s="76"/>
      <c r="LLF1364" s="76"/>
      <c r="LLG1364" s="76"/>
      <c r="LLH1364" s="76"/>
      <c r="LLI1364" s="76"/>
      <c r="LLJ1364" s="76"/>
      <c r="LLK1364" s="76"/>
      <c r="LLL1364" s="76"/>
      <c r="LLM1364" s="76"/>
      <c r="LLN1364" s="76"/>
      <c r="LLO1364" s="76"/>
      <c r="LLP1364" s="76"/>
      <c r="LLQ1364" s="76"/>
      <c r="LLR1364" s="76"/>
      <c r="LLS1364" s="76"/>
      <c r="LLT1364" s="76"/>
      <c r="LLU1364" s="76"/>
      <c r="LLV1364" s="76"/>
      <c r="LLW1364" s="76"/>
      <c r="LLX1364" s="76"/>
      <c r="LLY1364" s="76"/>
      <c r="LLZ1364" s="76"/>
      <c r="LMA1364" s="76"/>
      <c r="LMB1364" s="76"/>
      <c r="LMC1364" s="50"/>
      <c r="LMD1364" s="76"/>
      <c r="LME1364" s="76"/>
      <c r="LMF1364" s="76"/>
      <c r="LMG1364" s="76"/>
      <c r="LMH1364" s="76"/>
      <c r="LMI1364" s="76"/>
      <c r="LMJ1364" s="76"/>
      <c r="LMK1364" s="76"/>
      <c r="LML1364" s="76"/>
      <c r="LMM1364" s="76"/>
      <c r="LMN1364" s="76"/>
      <c r="LMO1364" s="76"/>
      <c r="LMP1364" s="76"/>
      <c r="LMQ1364" s="76"/>
      <c r="LMR1364" s="76"/>
      <c r="LMS1364" s="76"/>
      <c r="LMT1364" s="76"/>
      <c r="LMU1364" s="76"/>
      <c r="LMV1364" s="76"/>
      <c r="LMW1364" s="76"/>
      <c r="LMX1364" s="76"/>
      <c r="LMY1364" s="76"/>
      <c r="LMZ1364" s="76"/>
      <c r="LNA1364" s="76"/>
      <c r="LNB1364" s="76"/>
      <c r="LNC1364" s="76"/>
      <c r="LND1364" s="76"/>
      <c r="LNE1364" s="76"/>
      <c r="LNF1364" s="76"/>
      <c r="LNG1364" s="76"/>
      <c r="LNH1364" s="76"/>
      <c r="LNI1364" s="76"/>
      <c r="LNJ1364" s="76"/>
      <c r="LNK1364" s="76"/>
      <c r="LNL1364" s="76"/>
      <c r="LNM1364" s="76"/>
      <c r="LNN1364" s="76"/>
      <c r="LNO1364" s="76"/>
      <c r="LNP1364" s="76"/>
      <c r="LNQ1364" s="76"/>
      <c r="LNR1364" s="76"/>
      <c r="LNS1364" s="76"/>
      <c r="LNT1364" s="76"/>
      <c r="LNU1364" s="76"/>
      <c r="LNV1364" s="76"/>
      <c r="LNW1364" s="76"/>
      <c r="LNX1364" s="76"/>
      <c r="LNY1364" s="76"/>
      <c r="LNZ1364" s="76"/>
      <c r="LOA1364" s="76"/>
      <c r="LOB1364" s="76"/>
      <c r="LOC1364" s="76"/>
      <c r="LOD1364" s="76"/>
      <c r="LOE1364" s="76"/>
      <c r="LOF1364" s="76"/>
      <c r="LOG1364" s="76"/>
      <c r="LOH1364" s="76"/>
      <c r="LOI1364" s="76"/>
      <c r="LOJ1364" s="76"/>
      <c r="LOK1364" s="76"/>
      <c r="LOL1364" s="76"/>
      <c r="LOM1364" s="76"/>
      <c r="LON1364" s="76"/>
      <c r="LOO1364" s="76"/>
      <c r="LOP1364" s="76"/>
      <c r="LOQ1364" s="76"/>
      <c r="LOR1364" s="76"/>
      <c r="LOS1364" s="76"/>
      <c r="LOT1364" s="76"/>
      <c r="LOU1364" s="76"/>
      <c r="LOV1364" s="76"/>
      <c r="LOW1364" s="76"/>
      <c r="LOX1364" s="76"/>
      <c r="LOY1364" s="76"/>
      <c r="LOZ1364" s="76"/>
      <c r="LPA1364" s="76"/>
      <c r="LPB1364" s="76"/>
      <c r="LPC1364" s="76"/>
      <c r="LPD1364" s="76"/>
      <c r="LPE1364" s="76"/>
      <c r="LPF1364" s="76"/>
      <c r="LPG1364" s="76"/>
      <c r="LPH1364" s="76"/>
      <c r="LPI1364" s="76"/>
      <c r="LPJ1364" s="76"/>
      <c r="LPK1364" s="76"/>
      <c r="LPL1364" s="76"/>
      <c r="LPM1364" s="76"/>
      <c r="LPN1364" s="76"/>
      <c r="LPO1364" s="76"/>
      <c r="LPP1364" s="76"/>
      <c r="LPQ1364" s="76"/>
      <c r="LPR1364" s="76"/>
      <c r="LPS1364" s="76"/>
      <c r="LPT1364" s="76"/>
      <c r="LPU1364" s="76"/>
      <c r="LPV1364" s="76"/>
      <c r="LPW1364" s="76"/>
      <c r="LPX1364" s="76"/>
      <c r="LPY1364" s="76"/>
      <c r="LPZ1364" s="76"/>
      <c r="LQA1364" s="76"/>
      <c r="LQB1364" s="76"/>
      <c r="LQC1364" s="76"/>
      <c r="LQD1364" s="76"/>
      <c r="LQE1364" s="76"/>
      <c r="LQF1364" s="76"/>
      <c r="LQG1364" s="76"/>
      <c r="LQH1364" s="76"/>
      <c r="LQI1364" s="76"/>
      <c r="LQJ1364" s="76"/>
      <c r="LQK1364" s="76"/>
      <c r="LQL1364" s="76"/>
      <c r="LQM1364" s="76"/>
      <c r="LQN1364" s="76"/>
      <c r="LQO1364" s="76"/>
      <c r="LQP1364" s="76"/>
      <c r="LQQ1364" s="76"/>
      <c r="LQR1364" s="76"/>
      <c r="LQS1364" s="76"/>
      <c r="LQT1364" s="76"/>
      <c r="LQU1364" s="76"/>
      <c r="LQV1364" s="76"/>
      <c r="LQW1364" s="76"/>
      <c r="LQX1364" s="76"/>
      <c r="LQY1364" s="76"/>
      <c r="LQZ1364" s="76"/>
      <c r="LRA1364" s="76"/>
      <c r="LRB1364" s="76"/>
      <c r="LRC1364" s="76"/>
      <c r="LRD1364" s="76"/>
      <c r="LRE1364" s="76"/>
      <c r="LRF1364" s="76"/>
      <c r="LRG1364" s="76"/>
      <c r="LRH1364" s="76"/>
      <c r="LRI1364" s="76"/>
      <c r="LRJ1364" s="76"/>
      <c r="LRK1364" s="76"/>
      <c r="LRL1364" s="76"/>
      <c r="LRM1364" s="76"/>
      <c r="LRN1364" s="76"/>
      <c r="LRO1364" s="76"/>
      <c r="LRP1364" s="76"/>
      <c r="LRQ1364" s="76"/>
      <c r="LRR1364" s="76"/>
      <c r="LRS1364" s="76"/>
      <c r="LRT1364" s="76"/>
      <c r="LRU1364" s="76"/>
      <c r="LRV1364" s="76"/>
      <c r="LRW1364" s="76"/>
      <c r="LRX1364" s="76"/>
      <c r="LRY1364" s="76"/>
      <c r="LRZ1364" s="76"/>
      <c r="LSA1364" s="76"/>
      <c r="LSB1364" s="76"/>
      <c r="LSC1364" s="76"/>
      <c r="LSD1364" s="76"/>
      <c r="LSE1364" s="76"/>
      <c r="LSF1364" s="76"/>
      <c r="LSG1364" s="76"/>
      <c r="LSH1364" s="76"/>
      <c r="LSI1364" s="76"/>
      <c r="LSJ1364" s="76"/>
      <c r="LSK1364" s="76"/>
      <c r="LSL1364" s="76"/>
      <c r="LSM1364" s="76"/>
      <c r="LSN1364" s="76"/>
      <c r="LSO1364" s="76"/>
      <c r="LSP1364" s="76"/>
      <c r="LSQ1364" s="76"/>
      <c r="LSR1364" s="76"/>
      <c r="LSS1364" s="76"/>
      <c r="LST1364" s="76"/>
      <c r="LSU1364" s="76"/>
      <c r="LSV1364" s="76"/>
      <c r="LSW1364" s="76"/>
      <c r="LSX1364" s="76"/>
      <c r="LSY1364" s="76"/>
      <c r="LSZ1364" s="76"/>
      <c r="LTA1364" s="76"/>
      <c r="LTB1364" s="76"/>
      <c r="LTC1364" s="76"/>
      <c r="LTD1364" s="76"/>
      <c r="LTE1364" s="76"/>
      <c r="LTF1364" s="76"/>
      <c r="LTG1364" s="76"/>
      <c r="LTH1364" s="76"/>
      <c r="LTI1364" s="76"/>
      <c r="LTJ1364" s="76"/>
      <c r="LTK1364" s="76"/>
      <c r="LTL1364" s="76"/>
      <c r="LTM1364" s="76"/>
      <c r="LTN1364" s="76"/>
      <c r="LTO1364" s="76"/>
      <c r="LTP1364" s="76"/>
      <c r="LTQ1364" s="76"/>
      <c r="LTR1364" s="76"/>
      <c r="LTS1364" s="76"/>
      <c r="LTT1364" s="76"/>
      <c r="LTU1364" s="76"/>
      <c r="LTV1364" s="76"/>
      <c r="LTW1364" s="76"/>
      <c r="LTX1364" s="76"/>
      <c r="LTY1364" s="76"/>
      <c r="LTZ1364" s="76"/>
      <c r="LUA1364" s="76"/>
      <c r="LUB1364" s="76"/>
      <c r="LUC1364" s="76"/>
      <c r="LUD1364" s="76"/>
      <c r="LUE1364" s="76"/>
      <c r="LUF1364" s="76"/>
      <c r="LUG1364" s="76"/>
      <c r="LUH1364" s="76"/>
      <c r="LUI1364" s="76"/>
      <c r="LUJ1364" s="76"/>
      <c r="LUK1364" s="76"/>
      <c r="LUL1364" s="76"/>
      <c r="LUM1364" s="76"/>
      <c r="LUN1364" s="76"/>
      <c r="LUO1364" s="76"/>
      <c r="LUP1364" s="76"/>
      <c r="LUQ1364" s="76"/>
      <c r="LUR1364" s="76"/>
      <c r="LUS1364" s="76"/>
      <c r="LUT1364" s="76"/>
      <c r="LUU1364" s="76"/>
      <c r="LUV1364" s="76"/>
      <c r="LUW1364" s="76"/>
      <c r="LUX1364" s="76"/>
      <c r="LUY1364" s="76"/>
      <c r="LUZ1364" s="76"/>
      <c r="LVA1364" s="76"/>
      <c r="LVB1364" s="76"/>
      <c r="LVC1364" s="76"/>
      <c r="LVD1364" s="76"/>
      <c r="LVE1364" s="76"/>
      <c r="LVF1364" s="76"/>
      <c r="LVG1364" s="76"/>
      <c r="LVH1364" s="76"/>
      <c r="LVI1364" s="76"/>
      <c r="LVJ1364" s="76"/>
      <c r="LVK1364" s="76"/>
      <c r="LVL1364" s="76"/>
      <c r="LVM1364" s="76"/>
      <c r="LVN1364" s="76"/>
      <c r="LVO1364" s="76"/>
      <c r="LVP1364" s="76"/>
      <c r="LVQ1364" s="76"/>
      <c r="LVR1364" s="76"/>
      <c r="LVS1364" s="76"/>
      <c r="LVT1364" s="76"/>
      <c r="LVU1364" s="76"/>
      <c r="LVV1364" s="76"/>
      <c r="LVW1364" s="76"/>
      <c r="LVX1364" s="76"/>
      <c r="LVY1364" s="50"/>
      <c r="LVZ1364" s="76"/>
      <c r="LWA1364" s="76"/>
      <c r="LWB1364" s="76"/>
      <c r="LWC1364" s="76"/>
      <c r="LWD1364" s="76"/>
      <c r="LWE1364" s="76"/>
      <c r="LWF1364" s="76"/>
      <c r="LWG1364" s="76"/>
      <c r="LWH1364" s="76"/>
      <c r="LWI1364" s="76"/>
      <c r="LWJ1364" s="76"/>
      <c r="LWK1364" s="76"/>
      <c r="LWL1364" s="76"/>
      <c r="LWM1364" s="76"/>
      <c r="LWN1364" s="76"/>
      <c r="LWO1364" s="76"/>
      <c r="LWP1364" s="76"/>
      <c r="LWQ1364" s="76"/>
      <c r="LWR1364" s="76"/>
      <c r="LWS1364" s="76"/>
      <c r="LWT1364" s="76"/>
      <c r="LWU1364" s="76"/>
      <c r="LWV1364" s="76"/>
      <c r="LWW1364" s="76"/>
      <c r="LWX1364" s="76"/>
      <c r="LWY1364" s="76"/>
      <c r="LWZ1364" s="76"/>
      <c r="LXA1364" s="76"/>
      <c r="LXB1364" s="76"/>
      <c r="LXC1364" s="76"/>
      <c r="LXD1364" s="76"/>
      <c r="LXE1364" s="76"/>
      <c r="LXF1364" s="76"/>
      <c r="LXG1364" s="76"/>
      <c r="LXH1364" s="76"/>
      <c r="LXI1364" s="76"/>
      <c r="LXJ1364" s="76"/>
      <c r="LXK1364" s="76"/>
      <c r="LXL1364" s="76"/>
      <c r="LXM1364" s="76"/>
      <c r="LXN1364" s="76"/>
      <c r="LXO1364" s="76"/>
      <c r="LXP1364" s="76"/>
      <c r="LXQ1364" s="76"/>
      <c r="LXR1364" s="76"/>
      <c r="LXS1364" s="76"/>
      <c r="LXT1364" s="76"/>
      <c r="LXU1364" s="76"/>
      <c r="LXV1364" s="76"/>
      <c r="LXW1364" s="76"/>
      <c r="LXX1364" s="76"/>
      <c r="LXY1364" s="76"/>
      <c r="LXZ1364" s="76"/>
      <c r="LYA1364" s="76"/>
      <c r="LYB1364" s="76"/>
      <c r="LYC1364" s="76"/>
      <c r="LYD1364" s="76"/>
      <c r="LYE1364" s="76"/>
      <c r="LYF1364" s="76"/>
      <c r="LYG1364" s="76"/>
      <c r="LYH1364" s="76"/>
      <c r="LYI1364" s="76"/>
      <c r="LYJ1364" s="76"/>
      <c r="LYK1364" s="76"/>
      <c r="LYL1364" s="76"/>
      <c r="LYM1364" s="76"/>
      <c r="LYN1364" s="76"/>
      <c r="LYO1364" s="76"/>
      <c r="LYP1364" s="76"/>
      <c r="LYQ1364" s="76"/>
      <c r="LYR1364" s="76"/>
      <c r="LYS1364" s="76"/>
      <c r="LYT1364" s="76"/>
      <c r="LYU1364" s="76"/>
      <c r="LYV1364" s="76"/>
      <c r="LYW1364" s="76"/>
      <c r="LYX1364" s="76"/>
      <c r="LYY1364" s="76"/>
      <c r="LYZ1364" s="76"/>
      <c r="LZA1364" s="76"/>
      <c r="LZB1364" s="76"/>
      <c r="LZC1364" s="76"/>
      <c r="LZD1364" s="76"/>
      <c r="LZE1364" s="76"/>
      <c r="LZF1364" s="76"/>
      <c r="LZG1364" s="76"/>
      <c r="LZH1364" s="76"/>
      <c r="LZI1364" s="76"/>
      <c r="LZJ1364" s="76"/>
      <c r="LZK1364" s="76"/>
      <c r="LZL1364" s="76"/>
      <c r="LZM1364" s="76"/>
      <c r="LZN1364" s="76"/>
      <c r="LZO1364" s="76"/>
      <c r="LZP1364" s="76"/>
      <c r="LZQ1364" s="76"/>
      <c r="LZR1364" s="76"/>
      <c r="LZS1364" s="76"/>
      <c r="LZT1364" s="76"/>
      <c r="LZU1364" s="76"/>
      <c r="LZV1364" s="76"/>
      <c r="LZW1364" s="76"/>
      <c r="LZX1364" s="76"/>
      <c r="LZY1364" s="76"/>
      <c r="LZZ1364" s="76"/>
      <c r="MAA1364" s="76"/>
      <c r="MAB1364" s="76"/>
      <c r="MAC1364" s="76"/>
      <c r="MAD1364" s="76"/>
      <c r="MAE1364" s="76"/>
      <c r="MAF1364" s="76"/>
      <c r="MAG1364" s="76"/>
      <c r="MAH1364" s="76"/>
      <c r="MAI1364" s="76"/>
      <c r="MAJ1364" s="76"/>
      <c r="MAK1364" s="76"/>
      <c r="MAL1364" s="76"/>
      <c r="MAM1364" s="76"/>
      <c r="MAN1364" s="76"/>
      <c r="MAO1364" s="76"/>
      <c r="MAP1364" s="76"/>
      <c r="MAQ1364" s="76"/>
      <c r="MAR1364" s="76"/>
      <c r="MAS1364" s="76"/>
      <c r="MAT1364" s="76"/>
      <c r="MAU1364" s="76"/>
      <c r="MAV1364" s="76"/>
      <c r="MAW1364" s="76"/>
      <c r="MAX1364" s="76"/>
      <c r="MAY1364" s="76"/>
      <c r="MAZ1364" s="76"/>
      <c r="MBA1364" s="76"/>
      <c r="MBB1364" s="76"/>
      <c r="MBC1364" s="76"/>
      <c r="MBD1364" s="76"/>
      <c r="MBE1364" s="76"/>
      <c r="MBF1364" s="76"/>
      <c r="MBG1364" s="76"/>
      <c r="MBH1364" s="76"/>
      <c r="MBI1364" s="76"/>
      <c r="MBJ1364" s="76"/>
      <c r="MBK1364" s="76"/>
      <c r="MBL1364" s="76"/>
      <c r="MBM1364" s="76"/>
      <c r="MBN1364" s="76"/>
      <c r="MBO1364" s="76"/>
      <c r="MBP1364" s="76"/>
      <c r="MBQ1364" s="76"/>
      <c r="MBR1364" s="76"/>
      <c r="MBS1364" s="76"/>
      <c r="MBT1364" s="76"/>
      <c r="MBU1364" s="76"/>
      <c r="MBV1364" s="76"/>
      <c r="MBW1364" s="76"/>
      <c r="MBX1364" s="76"/>
      <c r="MBY1364" s="76"/>
      <c r="MBZ1364" s="76"/>
      <c r="MCA1364" s="76"/>
      <c r="MCB1364" s="76"/>
      <c r="MCC1364" s="76"/>
      <c r="MCD1364" s="76"/>
      <c r="MCE1364" s="76"/>
      <c r="MCF1364" s="76"/>
      <c r="MCG1364" s="76"/>
      <c r="MCH1364" s="76"/>
      <c r="MCI1364" s="76"/>
      <c r="MCJ1364" s="76"/>
      <c r="MCK1364" s="76"/>
      <c r="MCL1364" s="76"/>
      <c r="MCM1364" s="76"/>
      <c r="MCN1364" s="76"/>
      <c r="MCO1364" s="76"/>
      <c r="MCP1364" s="76"/>
      <c r="MCQ1364" s="76"/>
      <c r="MCR1364" s="76"/>
      <c r="MCS1364" s="76"/>
      <c r="MCT1364" s="76"/>
      <c r="MCU1364" s="76"/>
      <c r="MCV1364" s="76"/>
      <c r="MCW1364" s="76"/>
      <c r="MCX1364" s="76"/>
      <c r="MCY1364" s="76"/>
      <c r="MCZ1364" s="76"/>
      <c r="MDA1364" s="76"/>
      <c r="MDB1364" s="76"/>
      <c r="MDC1364" s="76"/>
      <c r="MDD1364" s="76"/>
      <c r="MDE1364" s="76"/>
      <c r="MDF1364" s="76"/>
      <c r="MDG1364" s="76"/>
      <c r="MDH1364" s="76"/>
      <c r="MDI1364" s="76"/>
      <c r="MDJ1364" s="76"/>
      <c r="MDK1364" s="76"/>
      <c r="MDL1364" s="76"/>
      <c r="MDM1364" s="76"/>
      <c r="MDN1364" s="76"/>
      <c r="MDO1364" s="76"/>
      <c r="MDP1364" s="76"/>
      <c r="MDQ1364" s="76"/>
      <c r="MDR1364" s="76"/>
      <c r="MDS1364" s="76"/>
      <c r="MDT1364" s="76"/>
      <c r="MDU1364" s="76"/>
      <c r="MDV1364" s="76"/>
      <c r="MDW1364" s="76"/>
      <c r="MDX1364" s="76"/>
      <c r="MDY1364" s="76"/>
      <c r="MDZ1364" s="76"/>
      <c r="MEA1364" s="76"/>
      <c r="MEB1364" s="76"/>
      <c r="MEC1364" s="76"/>
      <c r="MED1364" s="76"/>
      <c r="MEE1364" s="76"/>
      <c r="MEF1364" s="76"/>
      <c r="MEG1364" s="76"/>
      <c r="MEH1364" s="76"/>
      <c r="MEI1364" s="76"/>
      <c r="MEJ1364" s="76"/>
      <c r="MEK1364" s="76"/>
      <c r="MEL1364" s="76"/>
      <c r="MEM1364" s="76"/>
      <c r="MEN1364" s="76"/>
      <c r="MEO1364" s="76"/>
      <c r="MEP1364" s="76"/>
      <c r="MEQ1364" s="76"/>
      <c r="MER1364" s="76"/>
      <c r="MES1364" s="76"/>
      <c r="MET1364" s="76"/>
      <c r="MEU1364" s="76"/>
      <c r="MEV1364" s="76"/>
      <c r="MEW1364" s="76"/>
      <c r="MEX1364" s="76"/>
      <c r="MEY1364" s="76"/>
      <c r="MEZ1364" s="76"/>
      <c r="MFA1364" s="76"/>
      <c r="MFB1364" s="76"/>
      <c r="MFC1364" s="76"/>
      <c r="MFD1364" s="76"/>
      <c r="MFE1364" s="76"/>
      <c r="MFF1364" s="76"/>
      <c r="MFG1364" s="76"/>
      <c r="MFH1364" s="76"/>
      <c r="MFI1364" s="76"/>
      <c r="MFJ1364" s="76"/>
      <c r="MFK1364" s="76"/>
      <c r="MFL1364" s="76"/>
      <c r="MFM1364" s="76"/>
      <c r="MFN1364" s="76"/>
      <c r="MFO1364" s="76"/>
      <c r="MFP1364" s="76"/>
      <c r="MFQ1364" s="76"/>
      <c r="MFR1364" s="76"/>
      <c r="MFS1364" s="76"/>
      <c r="MFT1364" s="76"/>
      <c r="MFU1364" s="50"/>
      <c r="MFV1364" s="76"/>
      <c r="MFW1364" s="76"/>
      <c r="MFX1364" s="76"/>
      <c r="MFY1364" s="76"/>
      <c r="MFZ1364" s="76"/>
      <c r="MGA1364" s="76"/>
      <c r="MGB1364" s="76"/>
      <c r="MGC1364" s="76"/>
      <c r="MGD1364" s="76"/>
      <c r="MGE1364" s="76"/>
      <c r="MGF1364" s="76"/>
      <c r="MGG1364" s="76"/>
      <c r="MGH1364" s="76"/>
      <c r="MGI1364" s="76"/>
      <c r="MGJ1364" s="76"/>
      <c r="MGK1364" s="76"/>
      <c r="MGL1364" s="76"/>
      <c r="MGM1364" s="76"/>
      <c r="MGN1364" s="76"/>
      <c r="MGO1364" s="76"/>
      <c r="MGP1364" s="76"/>
      <c r="MGQ1364" s="76"/>
      <c r="MGR1364" s="76"/>
      <c r="MGS1364" s="76"/>
      <c r="MGT1364" s="76"/>
      <c r="MGU1364" s="76"/>
      <c r="MGV1364" s="76"/>
      <c r="MGW1364" s="76"/>
      <c r="MGX1364" s="76"/>
      <c r="MGY1364" s="76"/>
      <c r="MGZ1364" s="76"/>
      <c r="MHA1364" s="76"/>
      <c r="MHB1364" s="76"/>
      <c r="MHC1364" s="76"/>
      <c r="MHD1364" s="76"/>
      <c r="MHE1364" s="76"/>
      <c r="MHF1364" s="76"/>
      <c r="MHG1364" s="76"/>
      <c r="MHH1364" s="76"/>
      <c r="MHI1364" s="76"/>
      <c r="MHJ1364" s="76"/>
      <c r="MHK1364" s="76"/>
      <c r="MHL1364" s="76"/>
      <c r="MHM1364" s="76"/>
      <c r="MHN1364" s="76"/>
      <c r="MHO1364" s="76"/>
      <c r="MHP1364" s="76"/>
      <c r="MHQ1364" s="76"/>
      <c r="MHR1364" s="76"/>
      <c r="MHS1364" s="76"/>
      <c r="MHT1364" s="76"/>
      <c r="MHU1364" s="76"/>
      <c r="MHV1364" s="76"/>
      <c r="MHW1364" s="76"/>
      <c r="MHX1364" s="76"/>
      <c r="MHY1364" s="76"/>
      <c r="MHZ1364" s="76"/>
      <c r="MIA1364" s="76"/>
      <c r="MIB1364" s="76"/>
      <c r="MIC1364" s="76"/>
      <c r="MID1364" s="76"/>
      <c r="MIE1364" s="76"/>
      <c r="MIF1364" s="76"/>
      <c r="MIG1364" s="76"/>
      <c r="MIH1364" s="76"/>
      <c r="MII1364" s="76"/>
      <c r="MIJ1364" s="76"/>
      <c r="MIK1364" s="76"/>
      <c r="MIL1364" s="76"/>
      <c r="MIM1364" s="76"/>
      <c r="MIN1364" s="76"/>
      <c r="MIO1364" s="76"/>
      <c r="MIP1364" s="76"/>
      <c r="MIQ1364" s="76"/>
      <c r="MIR1364" s="76"/>
      <c r="MIS1364" s="76"/>
      <c r="MIT1364" s="76"/>
      <c r="MIU1364" s="76"/>
      <c r="MIV1364" s="76"/>
      <c r="MIW1364" s="76"/>
      <c r="MIX1364" s="76"/>
      <c r="MIY1364" s="76"/>
      <c r="MIZ1364" s="76"/>
      <c r="MJA1364" s="76"/>
      <c r="MJB1364" s="76"/>
      <c r="MJC1364" s="76"/>
      <c r="MJD1364" s="76"/>
      <c r="MJE1364" s="76"/>
      <c r="MJF1364" s="76"/>
      <c r="MJG1364" s="76"/>
      <c r="MJH1364" s="76"/>
      <c r="MJI1364" s="76"/>
      <c r="MJJ1364" s="76"/>
      <c r="MJK1364" s="76"/>
      <c r="MJL1364" s="76"/>
      <c r="MJM1364" s="76"/>
      <c r="MJN1364" s="76"/>
      <c r="MJO1364" s="76"/>
      <c r="MJP1364" s="76"/>
      <c r="MJQ1364" s="76"/>
      <c r="MJR1364" s="76"/>
      <c r="MJS1364" s="76"/>
      <c r="MJT1364" s="76"/>
      <c r="MJU1364" s="76"/>
      <c r="MJV1364" s="76"/>
      <c r="MJW1364" s="76"/>
      <c r="MJX1364" s="76"/>
      <c r="MJY1364" s="76"/>
      <c r="MJZ1364" s="76"/>
      <c r="MKA1364" s="76"/>
      <c r="MKB1364" s="76"/>
      <c r="MKC1364" s="76"/>
      <c r="MKD1364" s="76"/>
      <c r="MKE1364" s="76"/>
      <c r="MKF1364" s="76"/>
      <c r="MKG1364" s="76"/>
      <c r="MKH1364" s="76"/>
      <c r="MKI1364" s="76"/>
      <c r="MKJ1364" s="76"/>
      <c r="MKK1364" s="76"/>
      <c r="MKL1364" s="76"/>
      <c r="MKM1364" s="76"/>
      <c r="MKN1364" s="76"/>
      <c r="MKO1364" s="76"/>
      <c r="MKP1364" s="76"/>
      <c r="MKQ1364" s="76"/>
      <c r="MKR1364" s="76"/>
      <c r="MKS1364" s="76"/>
      <c r="MKT1364" s="76"/>
      <c r="MKU1364" s="76"/>
      <c r="MKV1364" s="76"/>
      <c r="MKW1364" s="76"/>
      <c r="MKX1364" s="76"/>
      <c r="MKY1364" s="76"/>
      <c r="MKZ1364" s="76"/>
      <c r="MLA1364" s="76"/>
      <c r="MLB1364" s="76"/>
      <c r="MLC1364" s="76"/>
      <c r="MLD1364" s="76"/>
      <c r="MLE1364" s="76"/>
      <c r="MLF1364" s="76"/>
      <c r="MLG1364" s="76"/>
      <c r="MLH1364" s="76"/>
      <c r="MLI1364" s="76"/>
      <c r="MLJ1364" s="76"/>
      <c r="MLK1364" s="76"/>
      <c r="MLL1364" s="76"/>
      <c r="MLM1364" s="76"/>
      <c r="MLN1364" s="76"/>
      <c r="MLO1364" s="76"/>
      <c r="MLP1364" s="76"/>
      <c r="MLQ1364" s="76"/>
      <c r="MLR1364" s="76"/>
      <c r="MLS1364" s="76"/>
      <c r="MLT1364" s="76"/>
      <c r="MLU1364" s="76"/>
      <c r="MLV1364" s="76"/>
      <c r="MLW1364" s="76"/>
      <c r="MLX1364" s="76"/>
      <c r="MLY1364" s="76"/>
      <c r="MLZ1364" s="76"/>
      <c r="MMA1364" s="76"/>
      <c r="MMB1364" s="76"/>
      <c r="MMC1364" s="76"/>
      <c r="MMD1364" s="76"/>
      <c r="MME1364" s="76"/>
      <c r="MMF1364" s="76"/>
      <c r="MMG1364" s="76"/>
      <c r="MMH1364" s="76"/>
      <c r="MMI1364" s="76"/>
      <c r="MMJ1364" s="76"/>
      <c r="MMK1364" s="76"/>
      <c r="MML1364" s="76"/>
      <c r="MMM1364" s="76"/>
      <c r="MMN1364" s="76"/>
      <c r="MMO1364" s="76"/>
      <c r="MMP1364" s="76"/>
      <c r="MMQ1364" s="76"/>
      <c r="MMR1364" s="76"/>
      <c r="MMS1364" s="76"/>
      <c r="MMT1364" s="76"/>
      <c r="MMU1364" s="76"/>
      <c r="MMV1364" s="76"/>
      <c r="MMW1364" s="76"/>
      <c r="MMX1364" s="76"/>
      <c r="MMY1364" s="76"/>
      <c r="MMZ1364" s="76"/>
      <c r="MNA1364" s="76"/>
      <c r="MNB1364" s="76"/>
      <c r="MNC1364" s="76"/>
      <c r="MND1364" s="76"/>
      <c r="MNE1364" s="76"/>
      <c r="MNF1364" s="76"/>
      <c r="MNG1364" s="76"/>
      <c r="MNH1364" s="76"/>
      <c r="MNI1364" s="76"/>
      <c r="MNJ1364" s="76"/>
      <c r="MNK1364" s="76"/>
      <c r="MNL1364" s="76"/>
      <c r="MNM1364" s="76"/>
      <c r="MNN1364" s="76"/>
      <c r="MNO1364" s="76"/>
      <c r="MNP1364" s="76"/>
      <c r="MNQ1364" s="76"/>
      <c r="MNR1364" s="76"/>
      <c r="MNS1364" s="76"/>
      <c r="MNT1364" s="76"/>
      <c r="MNU1364" s="76"/>
      <c r="MNV1364" s="76"/>
      <c r="MNW1364" s="76"/>
      <c r="MNX1364" s="76"/>
      <c r="MNY1364" s="76"/>
      <c r="MNZ1364" s="76"/>
      <c r="MOA1364" s="76"/>
      <c r="MOB1364" s="76"/>
      <c r="MOC1364" s="76"/>
      <c r="MOD1364" s="76"/>
      <c r="MOE1364" s="76"/>
      <c r="MOF1364" s="76"/>
      <c r="MOG1364" s="76"/>
      <c r="MOH1364" s="76"/>
      <c r="MOI1364" s="76"/>
      <c r="MOJ1364" s="76"/>
      <c r="MOK1364" s="76"/>
      <c r="MOL1364" s="76"/>
      <c r="MOM1364" s="76"/>
      <c r="MON1364" s="76"/>
      <c r="MOO1364" s="76"/>
      <c r="MOP1364" s="76"/>
      <c r="MOQ1364" s="76"/>
      <c r="MOR1364" s="76"/>
      <c r="MOS1364" s="76"/>
      <c r="MOT1364" s="76"/>
      <c r="MOU1364" s="76"/>
      <c r="MOV1364" s="76"/>
      <c r="MOW1364" s="76"/>
      <c r="MOX1364" s="76"/>
      <c r="MOY1364" s="76"/>
      <c r="MOZ1364" s="76"/>
      <c r="MPA1364" s="76"/>
      <c r="MPB1364" s="76"/>
      <c r="MPC1364" s="76"/>
      <c r="MPD1364" s="76"/>
      <c r="MPE1364" s="76"/>
      <c r="MPF1364" s="76"/>
      <c r="MPG1364" s="76"/>
      <c r="MPH1364" s="76"/>
      <c r="MPI1364" s="76"/>
      <c r="MPJ1364" s="76"/>
      <c r="MPK1364" s="76"/>
      <c r="MPL1364" s="76"/>
      <c r="MPM1364" s="76"/>
      <c r="MPN1364" s="76"/>
      <c r="MPO1364" s="76"/>
      <c r="MPP1364" s="76"/>
      <c r="MPQ1364" s="50"/>
      <c r="MPR1364" s="76"/>
      <c r="MPS1364" s="76"/>
      <c r="MPT1364" s="76"/>
      <c r="MPU1364" s="76"/>
      <c r="MPV1364" s="76"/>
      <c r="MPW1364" s="76"/>
      <c r="MPX1364" s="76"/>
      <c r="MPY1364" s="76"/>
      <c r="MPZ1364" s="76"/>
      <c r="MQA1364" s="76"/>
      <c r="MQB1364" s="76"/>
      <c r="MQC1364" s="76"/>
      <c r="MQD1364" s="76"/>
      <c r="MQE1364" s="76"/>
      <c r="MQF1364" s="76"/>
      <c r="MQG1364" s="76"/>
      <c r="MQH1364" s="76"/>
      <c r="MQI1364" s="76"/>
      <c r="MQJ1364" s="76"/>
      <c r="MQK1364" s="76"/>
      <c r="MQL1364" s="76"/>
      <c r="MQM1364" s="76"/>
      <c r="MQN1364" s="76"/>
      <c r="MQO1364" s="76"/>
      <c r="MQP1364" s="76"/>
      <c r="MQQ1364" s="76"/>
      <c r="MQR1364" s="76"/>
      <c r="MQS1364" s="76"/>
      <c r="MQT1364" s="76"/>
      <c r="MQU1364" s="76"/>
      <c r="MQV1364" s="76"/>
      <c r="MQW1364" s="76"/>
      <c r="MQX1364" s="76"/>
      <c r="MQY1364" s="76"/>
      <c r="MQZ1364" s="76"/>
      <c r="MRA1364" s="76"/>
      <c r="MRB1364" s="76"/>
      <c r="MRC1364" s="76"/>
      <c r="MRD1364" s="76"/>
      <c r="MRE1364" s="76"/>
      <c r="MRF1364" s="76"/>
      <c r="MRG1364" s="76"/>
      <c r="MRH1364" s="76"/>
      <c r="MRI1364" s="76"/>
      <c r="MRJ1364" s="76"/>
      <c r="MRK1364" s="76"/>
      <c r="MRL1364" s="76"/>
      <c r="MRM1364" s="76"/>
      <c r="MRN1364" s="76"/>
      <c r="MRO1364" s="76"/>
      <c r="MRP1364" s="76"/>
      <c r="MRQ1364" s="76"/>
      <c r="MRR1364" s="76"/>
      <c r="MRS1364" s="76"/>
      <c r="MRT1364" s="76"/>
      <c r="MRU1364" s="76"/>
      <c r="MRV1364" s="76"/>
      <c r="MRW1364" s="76"/>
      <c r="MRX1364" s="76"/>
      <c r="MRY1364" s="76"/>
      <c r="MRZ1364" s="76"/>
      <c r="MSA1364" s="76"/>
      <c r="MSB1364" s="76"/>
      <c r="MSC1364" s="76"/>
      <c r="MSD1364" s="76"/>
      <c r="MSE1364" s="76"/>
      <c r="MSF1364" s="76"/>
      <c r="MSG1364" s="76"/>
      <c r="MSH1364" s="76"/>
      <c r="MSI1364" s="76"/>
      <c r="MSJ1364" s="76"/>
      <c r="MSK1364" s="76"/>
      <c r="MSL1364" s="76"/>
      <c r="MSM1364" s="76"/>
      <c r="MSN1364" s="76"/>
      <c r="MSO1364" s="76"/>
      <c r="MSP1364" s="76"/>
      <c r="MSQ1364" s="76"/>
      <c r="MSR1364" s="76"/>
      <c r="MSS1364" s="76"/>
      <c r="MST1364" s="76"/>
      <c r="MSU1364" s="76"/>
      <c r="MSV1364" s="76"/>
      <c r="MSW1364" s="76"/>
      <c r="MSX1364" s="76"/>
      <c r="MSY1364" s="76"/>
      <c r="MSZ1364" s="76"/>
      <c r="MTA1364" s="76"/>
      <c r="MTB1364" s="76"/>
      <c r="MTC1364" s="76"/>
      <c r="MTD1364" s="76"/>
      <c r="MTE1364" s="76"/>
      <c r="MTF1364" s="76"/>
      <c r="MTG1364" s="76"/>
      <c r="MTH1364" s="76"/>
      <c r="MTI1364" s="76"/>
      <c r="MTJ1364" s="76"/>
      <c r="MTK1364" s="76"/>
      <c r="MTL1364" s="76"/>
      <c r="MTM1364" s="76"/>
      <c r="MTN1364" s="76"/>
      <c r="MTO1364" s="76"/>
      <c r="MTP1364" s="76"/>
      <c r="MTQ1364" s="76"/>
      <c r="MTR1364" s="76"/>
      <c r="MTS1364" s="76"/>
      <c r="MTT1364" s="76"/>
      <c r="MTU1364" s="76"/>
      <c r="MTV1364" s="76"/>
      <c r="MTW1364" s="76"/>
      <c r="MTX1364" s="76"/>
      <c r="MTY1364" s="76"/>
      <c r="MTZ1364" s="76"/>
      <c r="MUA1364" s="76"/>
      <c r="MUB1364" s="76"/>
      <c r="MUC1364" s="76"/>
      <c r="MUD1364" s="76"/>
      <c r="MUE1364" s="76"/>
      <c r="MUF1364" s="76"/>
      <c r="MUG1364" s="76"/>
      <c r="MUH1364" s="76"/>
      <c r="MUI1364" s="76"/>
      <c r="MUJ1364" s="76"/>
      <c r="MUK1364" s="76"/>
      <c r="MUL1364" s="76"/>
      <c r="MUM1364" s="76"/>
      <c r="MUN1364" s="76"/>
      <c r="MUO1364" s="76"/>
      <c r="MUP1364" s="76"/>
      <c r="MUQ1364" s="76"/>
      <c r="MUR1364" s="76"/>
      <c r="MUS1364" s="76"/>
      <c r="MUT1364" s="76"/>
      <c r="MUU1364" s="76"/>
      <c r="MUV1364" s="76"/>
      <c r="MUW1364" s="76"/>
      <c r="MUX1364" s="76"/>
      <c r="MUY1364" s="76"/>
      <c r="MUZ1364" s="76"/>
      <c r="MVA1364" s="76"/>
      <c r="MVB1364" s="76"/>
      <c r="MVC1364" s="76"/>
      <c r="MVD1364" s="76"/>
      <c r="MVE1364" s="76"/>
      <c r="MVF1364" s="76"/>
      <c r="MVG1364" s="76"/>
      <c r="MVH1364" s="76"/>
      <c r="MVI1364" s="76"/>
      <c r="MVJ1364" s="76"/>
      <c r="MVK1364" s="76"/>
      <c r="MVL1364" s="76"/>
      <c r="MVM1364" s="76"/>
      <c r="MVN1364" s="76"/>
      <c r="MVO1364" s="76"/>
      <c r="MVP1364" s="76"/>
      <c r="MVQ1364" s="76"/>
      <c r="MVR1364" s="76"/>
      <c r="MVS1364" s="76"/>
      <c r="MVT1364" s="76"/>
      <c r="MVU1364" s="76"/>
      <c r="MVV1364" s="76"/>
      <c r="MVW1364" s="76"/>
      <c r="MVX1364" s="76"/>
      <c r="MVY1364" s="76"/>
      <c r="MVZ1364" s="76"/>
      <c r="MWA1364" s="76"/>
      <c r="MWB1364" s="76"/>
      <c r="MWC1364" s="76"/>
      <c r="MWD1364" s="76"/>
      <c r="MWE1364" s="76"/>
      <c r="MWF1364" s="76"/>
      <c r="MWG1364" s="76"/>
      <c r="MWH1364" s="76"/>
      <c r="MWI1364" s="76"/>
      <c r="MWJ1364" s="76"/>
      <c r="MWK1364" s="76"/>
      <c r="MWL1364" s="76"/>
      <c r="MWM1364" s="76"/>
      <c r="MWN1364" s="76"/>
      <c r="MWO1364" s="76"/>
      <c r="MWP1364" s="76"/>
      <c r="MWQ1364" s="76"/>
      <c r="MWR1364" s="76"/>
      <c r="MWS1364" s="76"/>
      <c r="MWT1364" s="76"/>
      <c r="MWU1364" s="76"/>
      <c r="MWV1364" s="76"/>
      <c r="MWW1364" s="76"/>
      <c r="MWX1364" s="76"/>
      <c r="MWY1364" s="76"/>
      <c r="MWZ1364" s="76"/>
      <c r="MXA1364" s="76"/>
      <c r="MXB1364" s="76"/>
      <c r="MXC1364" s="76"/>
      <c r="MXD1364" s="76"/>
      <c r="MXE1364" s="76"/>
      <c r="MXF1364" s="76"/>
      <c r="MXG1364" s="76"/>
      <c r="MXH1364" s="76"/>
      <c r="MXI1364" s="76"/>
      <c r="MXJ1364" s="76"/>
      <c r="MXK1364" s="76"/>
      <c r="MXL1364" s="76"/>
      <c r="MXM1364" s="76"/>
      <c r="MXN1364" s="76"/>
      <c r="MXO1364" s="76"/>
      <c r="MXP1364" s="76"/>
      <c r="MXQ1364" s="76"/>
      <c r="MXR1364" s="76"/>
      <c r="MXS1364" s="76"/>
      <c r="MXT1364" s="76"/>
      <c r="MXU1364" s="76"/>
      <c r="MXV1364" s="76"/>
      <c r="MXW1364" s="76"/>
      <c r="MXX1364" s="76"/>
      <c r="MXY1364" s="76"/>
      <c r="MXZ1364" s="76"/>
      <c r="MYA1364" s="76"/>
      <c r="MYB1364" s="76"/>
      <c r="MYC1364" s="76"/>
      <c r="MYD1364" s="76"/>
      <c r="MYE1364" s="76"/>
      <c r="MYF1364" s="76"/>
      <c r="MYG1364" s="76"/>
      <c r="MYH1364" s="76"/>
      <c r="MYI1364" s="76"/>
      <c r="MYJ1364" s="76"/>
      <c r="MYK1364" s="76"/>
      <c r="MYL1364" s="76"/>
      <c r="MYM1364" s="76"/>
      <c r="MYN1364" s="76"/>
      <c r="MYO1364" s="76"/>
      <c r="MYP1364" s="76"/>
      <c r="MYQ1364" s="76"/>
      <c r="MYR1364" s="76"/>
      <c r="MYS1364" s="76"/>
      <c r="MYT1364" s="76"/>
      <c r="MYU1364" s="76"/>
      <c r="MYV1364" s="76"/>
      <c r="MYW1364" s="76"/>
      <c r="MYX1364" s="76"/>
      <c r="MYY1364" s="76"/>
      <c r="MYZ1364" s="76"/>
      <c r="MZA1364" s="76"/>
      <c r="MZB1364" s="76"/>
      <c r="MZC1364" s="76"/>
      <c r="MZD1364" s="76"/>
      <c r="MZE1364" s="76"/>
      <c r="MZF1364" s="76"/>
      <c r="MZG1364" s="76"/>
      <c r="MZH1364" s="76"/>
      <c r="MZI1364" s="76"/>
      <c r="MZJ1364" s="76"/>
      <c r="MZK1364" s="76"/>
      <c r="MZL1364" s="76"/>
      <c r="MZM1364" s="50"/>
      <c r="MZN1364" s="76"/>
      <c r="MZO1364" s="76"/>
      <c r="MZP1364" s="76"/>
      <c r="MZQ1364" s="76"/>
      <c r="MZR1364" s="76"/>
      <c r="MZS1364" s="76"/>
      <c r="MZT1364" s="76"/>
      <c r="MZU1364" s="76"/>
      <c r="MZV1364" s="76"/>
      <c r="MZW1364" s="76"/>
      <c r="MZX1364" s="76"/>
      <c r="MZY1364" s="76"/>
      <c r="MZZ1364" s="76"/>
      <c r="NAA1364" s="76"/>
      <c r="NAB1364" s="76"/>
      <c r="NAC1364" s="76"/>
      <c r="NAD1364" s="76"/>
      <c r="NAE1364" s="76"/>
      <c r="NAF1364" s="76"/>
      <c r="NAG1364" s="76"/>
      <c r="NAH1364" s="76"/>
      <c r="NAI1364" s="76"/>
      <c r="NAJ1364" s="76"/>
      <c r="NAK1364" s="76"/>
      <c r="NAL1364" s="76"/>
      <c r="NAM1364" s="76"/>
      <c r="NAN1364" s="76"/>
      <c r="NAO1364" s="76"/>
      <c r="NAP1364" s="76"/>
      <c r="NAQ1364" s="76"/>
      <c r="NAR1364" s="76"/>
      <c r="NAS1364" s="76"/>
      <c r="NAT1364" s="76"/>
      <c r="NAU1364" s="76"/>
      <c r="NAV1364" s="76"/>
      <c r="NAW1364" s="76"/>
      <c r="NAX1364" s="76"/>
      <c r="NAY1364" s="76"/>
      <c r="NAZ1364" s="76"/>
      <c r="NBA1364" s="76"/>
      <c r="NBB1364" s="76"/>
      <c r="NBC1364" s="76"/>
      <c r="NBD1364" s="76"/>
      <c r="NBE1364" s="76"/>
      <c r="NBF1364" s="76"/>
      <c r="NBG1364" s="76"/>
      <c r="NBH1364" s="76"/>
      <c r="NBI1364" s="76"/>
      <c r="NBJ1364" s="76"/>
      <c r="NBK1364" s="76"/>
      <c r="NBL1364" s="76"/>
      <c r="NBM1364" s="76"/>
      <c r="NBN1364" s="76"/>
      <c r="NBO1364" s="76"/>
      <c r="NBP1364" s="76"/>
      <c r="NBQ1364" s="76"/>
      <c r="NBR1364" s="76"/>
      <c r="NBS1364" s="76"/>
      <c r="NBT1364" s="76"/>
      <c r="NBU1364" s="76"/>
      <c r="NBV1364" s="76"/>
      <c r="NBW1364" s="76"/>
      <c r="NBX1364" s="76"/>
      <c r="NBY1364" s="76"/>
      <c r="NBZ1364" s="76"/>
      <c r="NCA1364" s="76"/>
      <c r="NCB1364" s="76"/>
      <c r="NCC1364" s="76"/>
      <c r="NCD1364" s="76"/>
      <c r="NCE1364" s="76"/>
      <c r="NCF1364" s="76"/>
      <c r="NCG1364" s="76"/>
      <c r="NCH1364" s="76"/>
      <c r="NCI1364" s="76"/>
      <c r="NCJ1364" s="76"/>
      <c r="NCK1364" s="76"/>
      <c r="NCL1364" s="76"/>
      <c r="NCM1364" s="76"/>
      <c r="NCN1364" s="76"/>
      <c r="NCO1364" s="76"/>
      <c r="NCP1364" s="76"/>
      <c r="NCQ1364" s="76"/>
      <c r="NCR1364" s="76"/>
      <c r="NCS1364" s="76"/>
      <c r="NCT1364" s="76"/>
      <c r="NCU1364" s="76"/>
      <c r="NCV1364" s="76"/>
      <c r="NCW1364" s="76"/>
      <c r="NCX1364" s="76"/>
      <c r="NCY1364" s="76"/>
      <c r="NCZ1364" s="76"/>
      <c r="NDA1364" s="76"/>
      <c r="NDB1364" s="76"/>
      <c r="NDC1364" s="76"/>
      <c r="NDD1364" s="76"/>
      <c r="NDE1364" s="76"/>
      <c r="NDF1364" s="76"/>
      <c r="NDG1364" s="76"/>
      <c r="NDH1364" s="76"/>
      <c r="NDI1364" s="76"/>
      <c r="NDJ1364" s="76"/>
      <c r="NDK1364" s="76"/>
      <c r="NDL1364" s="76"/>
      <c r="NDM1364" s="76"/>
      <c r="NDN1364" s="76"/>
      <c r="NDO1364" s="76"/>
      <c r="NDP1364" s="76"/>
      <c r="NDQ1364" s="76"/>
      <c r="NDR1364" s="76"/>
      <c r="NDS1364" s="76"/>
      <c r="NDT1364" s="76"/>
      <c r="NDU1364" s="76"/>
      <c r="NDV1364" s="76"/>
      <c r="NDW1364" s="76"/>
      <c r="NDX1364" s="76"/>
      <c r="NDY1364" s="76"/>
      <c r="NDZ1364" s="76"/>
      <c r="NEA1364" s="76"/>
      <c r="NEB1364" s="76"/>
      <c r="NEC1364" s="76"/>
      <c r="NED1364" s="76"/>
      <c r="NEE1364" s="76"/>
      <c r="NEF1364" s="76"/>
      <c r="NEG1364" s="76"/>
      <c r="NEH1364" s="76"/>
      <c r="NEI1364" s="76"/>
      <c r="NEJ1364" s="76"/>
      <c r="NEK1364" s="76"/>
      <c r="NEL1364" s="76"/>
      <c r="NEM1364" s="76"/>
      <c r="NEN1364" s="76"/>
      <c r="NEO1364" s="76"/>
      <c r="NEP1364" s="76"/>
      <c r="NEQ1364" s="76"/>
      <c r="NER1364" s="76"/>
      <c r="NES1364" s="76"/>
      <c r="NET1364" s="76"/>
      <c r="NEU1364" s="76"/>
      <c r="NEV1364" s="76"/>
      <c r="NEW1364" s="76"/>
      <c r="NEX1364" s="76"/>
      <c r="NEY1364" s="76"/>
      <c r="NEZ1364" s="76"/>
      <c r="NFA1364" s="76"/>
      <c r="NFB1364" s="76"/>
      <c r="NFC1364" s="76"/>
      <c r="NFD1364" s="76"/>
      <c r="NFE1364" s="76"/>
      <c r="NFF1364" s="76"/>
      <c r="NFG1364" s="76"/>
      <c r="NFH1364" s="76"/>
      <c r="NFI1364" s="76"/>
      <c r="NFJ1364" s="76"/>
      <c r="NFK1364" s="76"/>
      <c r="NFL1364" s="76"/>
      <c r="NFM1364" s="76"/>
      <c r="NFN1364" s="76"/>
      <c r="NFO1364" s="76"/>
      <c r="NFP1364" s="76"/>
      <c r="NFQ1364" s="76"/>
      <c r="NFR1364" s="76"/>
      <c r="NFS1364" s="76"/>
      <c r="NFT1364" s="76"/>
      <c r="NFU1364" s="76"/>
      <c r="NFV1364" s="76"/>
      <c r="NFW1364" s="76"/>
      <c r="NFX1364" s="76"/>
      <c r="NFY1364" s="76"/>
      <c r="NFZ1364" s="76"/>
      <c r="NGA1364" s="76"/>
      <c r="NGB1364" s="76"/>
      <c r="NGC1364" s="76"/>
      <c r="NGD1364" s="76"/>
      <c r="NGE1364" s="76"/>
      <c r="NGF1364" s="76"/>
      <c r="NGG1364" s="76"/>
      <c r="NGH1364" s="76"/>
      <c r="NGI1364" s="76"/>
      <c r="NGJ1364" s="76"/>
      <c r="NGK1364" s="76"/>
      <c r="NGL1364" s="76"/>
      <c r="NGM1364" s="76"/>
      <c r="NGN1364" s="76"/>
      <c r="NGO1364" s="76"/>
      <c r="NGP1364" s="76"/>
      <c r="NGQ1364" s="76"/>
      <c r="NGR1364" s="76"/>
      <c r="NGS1364" s="76"/>
      <c r="NGT1364" s="76"/>
      <c r="NGU1364" s="76"/>
      <c r="NGV1364" s="76"/>
      <c r="NGW1364" s="76"/>
      <c r="NGX1364" s="76"/>
      <c r="NGY1364" s="76"/>
      <c r="NGZ1364" s="76"/>
      <c r="NHA1364" s="76"/>
      <c r="NHB1364" s="76"/>
      <c r="NHC1364" s="76"/>
      <c r="NHD1364" s="76"/>
      <c r="NHE1364" s="76"/>
      <c r="NHF1364" s="76"/>
      <c r="NHG1364" s="76"/>
      <c r="NHH1364" s="76"/>
      <c r="NHI1364" s="76"/>
      <c r="NHJ1364" s="76"/>
      <c r="NHK1364" s="76"/>
      <c r="NHL1364" s="76"/>
      <c r="NHM1364" s="76"/>
      <c r="NHN1364" s="76"/>
      <c r="NHO1364" s="76"/>
      <c r="NHP1364" s="76"/>
      <c r="NHQ1364" s="76"/>
      <c r="NHR1364" s="76"/>
      <c r="NHS1364" s="76"/>
      <c r="NHT1364" s="76"/>
      <c r="NHU1364" s="76"/>
      <c r="NHV1364" s="76"/>
      <c r="NHW1364" s="76"/>
      <c r="NHX1364" s="76"/>
      <c r="NHY1364" s="76"/>
      <c r="NHZ1364" s="76"/>
      <c r="NIA1364" s="76"/>
      <c r="NIB1364" s="76"/>
      <c r="NIC1364" s="76"/>
      <c r="NID1364" s="76"/>
      <c r="NIE1364" s="76"/>
      <c r="NIF1364" s="76"/>
      <c r="NIG1364" s="76"/>
      <c r="NIH1364" s="76"/>
      <c r="NII1364" s="76"/>
      <c r="NIJ1364" s="76"/>
      <c r="NIK1364" s="76"/>
      <c r="NIL1364" s="76"/>
      <c r="NIM1364" s="76"/>
      <c r="NIN1364" s="76"/>
      <c r="NIO1364" s="76"/>
      <c r="NIP1364" s="76"/>
      <c r="NIQ1364" s="76"/>
      <c r="NIR1364" s="76"/>
      <c r="NIS1364" s="76"/>
      <c r="NIT1364" s="76"/>
      <c r="NIU1364" s="76"/>
      <c r="NIV1364" s="76"/>
      <c r="NIW1364" s="76"/>
      <c r="NIX1364" s="76"/>
      <c r="NIY1364" s="76"/>
      <c r="NIZ1364" s="76"/>
      <c r="NJA1364" s="76"/>
      <c r="NJB1364" s="76"/>
      <c r="NJC1364" s="76"/>
      <c r="NJD1364" s="76"/>
      <c r="NJE1364" s="76"/>
      <c r="NJF1364" s="76"/>
      <c r="NJG1364" s="76"/>
      <c r="NJH1364" s="76"/>
      <c r="NJI1364" s="50"/>
      <c r="NJJ1364" s="76"/>
      <c r="NJK1364" s="76"/>
      <c r="NJL1364" s="76"/>
      <c r="NJM1364" s="76"/>
      <c r="NJN1364" s="76"/>
      <c r="NJO1364" s="76"/>
      <c r="NJP1364" s="76"/>
      <c r="NJQ1364" s="76"/>
      <c r="NJR1364" s="76"/>
      <c r="NJS1364" s="76"/>
      <c r="NJT1364" s="76"/>
      <c r="NJU1364" s="76"/>
      <c r="NJV1364" s="76"/>
      <c r="NJW1364" s="76"/>
      <c r="NJX1364" s="76"/>
      <c r="NJY1364" s="76"/>
      <c r="NJZ1364" s="76"/>
      <c r="NKA1364" s="76"/>
      <c r="NKB1364" s="76"/>
      <c r="NKC1364" s="76"/>
      <c r="NKD1364" s="76"/>
      <c r="NKE1364" s="76"/>
      <c r="NKF1364" s="76"/>
      <c r="NKG1364" s="76"/>
      <c r="NKH1364" s="76"/>
      <c r="NKI1364" s="76"/>
      <c r="NKJ1364" s="76"/>
      <c r="NKK1364" s="76"/>
      <c r="NKL1364" s="76"/>
      <c r="NKM1364" s="76"/>
      <c r="NKN1364" s="76"/>
      <c r="NKO1364" s="76"/>
      <c r="NKP1364" s="76"/>
      <c r="NKQ1364" s="76"/>
      <c r="NKR1364" s="76"/>
      <c r="NKS1364" s="76"/>
      <c r="NKT1364" s="76"/>
      <c r="NKU1364" s="76"/>
      <c r="NKV1364" s="76"/>
      <c r="NKW1364" s="76"/>
      <c r="NKX1364" s="76"/>
      <c r="NKY1364" s="76"/>
      <c r="NKZ1364" s="76"/>
      <c r="NLA1364" s="76"/>
      <c r="NLB1364" s="76"/>
      <c r="NLC1364" s="76"/>
      <c r="NLD1364" s="76"/>
      <c r="NLE1364" s="76"/>
      <c r="NLF1364" s="76"/>
      <c r="NLG1364" s="76"/>
      <c r="NLH1364" s="76"/>
      <c r="NLI1364" s="76"/>
      <c r="NLJ1364" s="76"/>
      <c r="NLK1364" s="76"/>
      <c r="NLL1364" s="76"/>
      <c r="NLM1364" s="76"/>
      <c r="NLN1364" s="76"/>
      <c r="NLO1364" s="76"/>
      <c r="NLP1364" s="76"/>
      <c r="NLQ1364" s="76"/>
      <c r="NLR1364" s="76"/>
      <c r="NLS1364" s="76"/>
      <c r="NLT1364" s="76"/>
      <c r="NLU1364" s="76"/>
      <c r="NLV1364" s="76"/>
      <c r="NLW1364" s="76"/>
      <c r="NLX1364" s="76"/>
      <c r="NLY1364" s="76"/>
      <c r="NLZ1364" s="76"/>
      <c r="NMA1364" s="76"/>
      <c r="NMB1364" s="76"/>
      <c r="NMC1364" s="76"/>
      <c r="NMD1364" s="76"/>
      <c r="NME1364" s="76"/>
      <c r="NMF1364" s="76"/>
      <c r="NMG1364" s="76"/>
      <c r="NMH1364" s="76"/>
      <c r="NMI1364" s="76"/>
      <c r="NMJ1364" s="76"/>
      <c r="NMK1364" s="76"/>
      <c r="NML1364" s="76"/>
      <c r="NMM1364" s="76"/>
      <c r="NMN1364" s="76"/>
      <c r="NMO1364" s="76"/>
      <c r="NMP1364" s="76"/>
      <c r="NMQ1364" s="76"/>
      <c r="NMR1364" s="76"/>
      <c r="NMS1364" s="76"/>
      <c r="NMT1364" s="76"/>
      <c r="NMU1364" s="76"/>
      <c r="NMV1364" s="76"/>
      <c r="NMW1364" s="76"/>
      <c r="NMX1364" s="76"/>
      <c r="NMY1364" s="76"/>
      <c r="NMZ1364" s="76"/>
      <c r="NNA1364" s="76"/>
      <c r="NNB1364" s="76"/>
      <c r="NNC1364" s="76"/>
      <c r="NND1364" s="76"/>
      <c r="NNE1364" s="76"/>
      <c r="NNF1364" s="76"/>
      <c r="NNG1364" s="76"/>
      <c r="NNH1364" s="76"/>
      <c r="NNI1364" s="76"/>
      <c r="NNJ1364" s="76"/>
      <c r="NNK1364" s="76"/>
      <c r="NNL1364" s="76"/>
      <c r="NNM1364" s="76"/>
      <c r="NNN1364" s="76"/>
      <c r="NNO1364" s="76"/>
      <c r="NNP1364" s="76"/>
      <c r="NNQ1364" s="76"/>
      <c r="NNR1364" s="76"/>
      <c r="NNS1364" s="76"/>
      <c r="NNT1364" s="76"/>
      <c r="NNU1364" s="76"/>
      <c r="NNV1364" s="76"/>
      <c r="NNW1364" s="76"/>
      <c r="NNX1364" s="76"/>
      <c r="NNY1364" s="76"/>
      <c r="NNZ1364" s="76"/>
      <c r="NOA1364" s="76"/>
      <c r="NOB1364" s="76"/>
      <c r="NOC1364" s="76"/>
      <c r="NOD1364" s="76"/>
      <c r="NOE1364" s="76"/>
      <c r="NOF1364" s="76"/>
      <c r="NOG1364" s="76"/>
      <c r="NOH1364" s="76"/>
      <c r="NOI1364" s="76"/>
      <c r="NOJ1364" s="76"/>
      <c r="NOK1364" s="76"/>
      <c r="NOL1364" s="76"/>
      <c r="NOM1364" s="76"/>
      <c r="NON1364" s="76"/>
      <c r="NOO1364" s="76"/>
      <c r="NOP1364" s="76"/>
      <c r="NOQ1364" s="76"/>
      <c r="NOR1364" s="76"/>
      <c r="NOS1364" s="76"/>
      <c r="NOT1364" s="76"/>
      <c r="NOU1364" s="76"/>
      <c r="NOV1364" s="76"/>
      <c r="NOW1364" s="76"/>
      <c r="NOX1364" s="76"/>
      <c r="NOY1364" s="76"/>
      <c r="NOZ1364" s="76"/>
      <c r="NPA1364" s="76"/>
      <c r="NPB1364" s="76"/>
      <c r="NPC1364" s="76"/>
      <c r="NPD1364" s="76"/>
      <c r="NPE1364" s="76"/>
      <c r="NPF1364" s="76"/>
      <c r="NPG1364" s="76"/>
      <c r="NPH1364" s="76"/>
      <c r="NPI1364" s="76"/>
      <c r="NPJ1364" s="76"/>
      <c r="NPK1364" s="76"/>
      <c r="NPL1364" s="76"/>
      <c r="NPM1364" s="76"/>
      <c r="NPN1364" s="76"/>
      <c r="NPO1364" s="76"/>
      <c r="NPP1364" s="76"/>
      <c r="NPQ1364" s="76"/>
      <c r="NPR1364" s="76"/>
      <c r="NPS1364" s="76"/>
      <c r="NPT1364" s="76"/>
      <c r="NPU1364" s="76"/>
      <c r="NPV1364" s="76"/>
      <c r="NPW1364" s="76"/>
      <c r="NPX1364" s="76"/>
      <c r="NPY1364" s="76"/>
      <c r="NPZ1364" s="76"/>
      <c r="NQA1364" s="76"/>
      <c r="NQB1364" s="76"/>
      <c r="NQC1364" s="76"/>
      <c r="NQD1364" s="76"/>
      <c r="NQE1364" s="76"/>
      <c r="NQF1364" s="76"/>
      <c r="NQG1364" s="76"/>
      <c r="NQH1364" s="76"/>
      <c r="NQI1364" s="76"/>
      <c r="NQJ1364" s="76"/>
      <c r="NQK1364" s="76"/>
      <c r="NQL1364" s="76"/>
      <c r="NQM1364" s="76"/>
      <c r="NQN1364" s="76"/>
      <c r="NQO1364" s="76"/>
      <c r="NQP1364" s="76"/>
      <c r="NQQ1364" s="76"/>
      <c r="NQR1364" s="76"/>
      <c r="NQS1364" s="76"/>
      <c r="NQT1364" s="76"/>
      <c r="NQU1364" s="76"/>
      <c r="NQV1364" s="76"/>
      <c r="NQW1364" s="76"/>
      <c r="NQX1364" s="76"/>
      <c r="NQY1364" s="76"/>
      <c r="NQZ1364" s="76"/>
      <c r="NRA1364" s="76"/>
      <c r="NRB1364" s="76"/>
      <c r="NRC1364" s="76"/>
      <c r="NRD1364" s="76"/>
      <c r="NRE1364" s="76"/>
      <c r="NRF1364" s="76"/>
      <c r="NRG1364" s="76"/>
      <c r="NRH1364" s="76"/>
      <c r="NRI1364" s="76"/>
      <c r="NRJ1364" s="76"/>
      <c r="NRK1364" s="76"/>
      <c r="NRL1364" s="76"/>
      <c r="NRM1364" s="76"/>
      <c r="NRN1364" s="76"/>
      <c r="NRO1364" s="76"/>
      <c r="NRP1364" s="76"/>
      <c r="NRQ1364" s="76"/>
      <c r="NRR1364" s="76"/>
      <c r="NRS1364" s="76"/>
      <c r="NRT1364" s="76"/>
      <c r="NRU1364" s="76"/>
      <c r="NRV1364" s="76"/>
      <c r="NRW1364" s="76"/>
      <c r="NRX1364" s="76"/>
      <c r="NRY1364" s="76"/>
      <c r="NRZ1364" s="76"/>
      <c r="NSA1364" s="76"/>
      <c r="NSB1364" s="76"/>
      <c r="NSC1364" s="76"/>
      <c r="NSD1364" s="76"/>
      <c r="NSE1364" s="76"/>
      <c r="NSF1364" s="76"/>
      <c r="NSG1364" s="76"/>
      <c r="NSH1364" s="76"/>
      <c r="NSI1364" s="76"/>
      <c r="NSJ1364" s="76"/>
      <c r="NSK1364" s="76"/>
      <c r="NSL1364" s="76"/>
      <c r="NSM1364" s="76"/>
      <c r="NSN1364" s="76"/>
      <c r="NSO1364" s="76"/>
      <c r="NSP1364" s="76"/>
      <c r="NSQ1364" s="76"/>
      <c r="NSR1364" s="76"/>
      <c r="NSS1364" s="76"/>
      <c r="NST1364" s="76"/>
      <c r="NSU1364" s="76"/>
      <c r="NSV1364" s="76"/>
      <c r="NSW1364" s="76"/>
      <c r="NSX1364" s="76"/>
      <c r="NSY1364" s="76"/>
      <c r="NSZ1364" s="76"/>
      <c r="NTA1364" s="76"/>
      <c r="NTB1364" s="76"/>
      <c r="NTC1364" s="76"/>
      <c r="NTD1364" s="76"/>
      <c r="NTE1364" s="50"/>
      <c r="NTF1364" s="76"/>
      <c r="NTG1364" s="76"/>
      <c r="NTH1364" s="76"/>
      <c r="NTI1364" s="76"/>
      <c r="NTJ1364" s="76"/>
      <c r="NTK1364" s="76"/>
      <c r="NTL1364" s="76"/>
      <c r="NTM1364" s="76"/>
      <c r="NTN1364" s="76"/>
      <c r="NTO1364" s="76"/>
      <c r="NTP1364" s="76"/>
      <c r="NTQ1364" s="76"/>
      <c r="NTR1364" s="76"/>
      <c r="NTS1364" s="76"/>
      <c r="NTT1364" s="76"/>
      <c r="NTU1364" s="76"/>
      <c r="NTV1364" s="76"/>
      <c r="NTW1364" s="76"/>
      <c r="NTX1364" s="76"/>
      <c r="NTY1364" s="76"/>
      <c r="NTZ1364" s="76"/>
      <c r="NUA1364" s="76"/>
      <c r="NUB1364" s="76"/>
      <c r="NUC1364" s="76"/>
      <c r="NUD1364" s="76"/>
      <c r="NUE1364" s="76"/>
      <c r="NUF1364" s="76"/>
      <c r="NUG1364" s="76"/>
      <c r="NUH1364" s="76"/>
      <c r="NUI1364" s="76"/>
      <c r="NUJ1364" s="76"/>
      <c r="NUK1364" s="76"/>
      <c r="NUL1364" s="76"/>
      <c r="NUM1364" s="76"/>
      <c r="NUN1364" s="76"/>
      <c r="NUO1364" s="76"/>
      <c r="NUP1364" s="76"/>
      <c r="NUQ1364" s="76"/>
      <c r="NUR1364" s="76"/>
      <c r="NUS1364" s="76"/>
      <c r="NUT1364" s="76"/>
      <c r="NUU1364" s="76"/>
      <c r="NUV1364" s="76"/>
      <c r="NUW1364" s="76"/>
      <c r="NUX1364" s="76"/>
      <c r="NUY1364" s="76"/>
      <c r="NUZ1364" s="76"/>
      <c r="NVA1364" s="76"/>
      <c r="NVB1364" s="76"/>
      <c r="NVC1364" s="76"/>
      <c r="NVD1364" s="76"/>
      <c r="NVE1364" s="76"/>
      <c r="NVF1364" s="76"/>
      <c r="NVG1364" s="76"/>
      <c r="NVH1364" s="76"/>
      <c r="NVI1364" s="76"/>
      <c r="NVJ1364" s="76"/>
      <c r="NVK1364" s="76"/>
      <c r="NVL1364" s="76"/>
      <c r="NVM1364" s="76"/>
      <c r="NVN1364" s="76"/>
      <c r="NVO1364" s="76"/>
      <c r="NVP1364" s="76"/>
      <c r="NVQ1364" s="76"/>
      <c r="NVR1364" s="76"/>
      <c r="NVS1364" s="76"/>
      <c r="NVT1364" s="76"/>
      <c r="NVU1364" s="76"/>
      <c r="NVV1364" s="76"/>
      <c r="NVW1364" s="76"/>
      <c r="NVX1364" s="76"/>
      <c r="NVY1364" s="76"/>
      <c r="NVZ1364" s="76"/>
      <c r="NWA1364" s="76"/>
      <c r="NWB1364" s="76"/>
      <c r="NWC1364" s="76"/>
      <c r="NWD1364" s="76"/>
      <c r="NWE1364" s="76"/>
      <c r="NWF1364" s="76"/>
      <c r="NWG1364" s="76"/>
      <c r="NWH1364" s="76"/>
      <c r="NWI1364" s="76"/>
      <c r="NWJ1364" s="76"/>
      <c r="NWK1364" s="76"/>
      <c r="NWL1364" s="76"/>
      <c r="NWM1364" s="76"/>
      <c r="NWN1364" s="76"/>
      <c r="NWO1364" s="76"/>
      <c r="NWP1364" s="76"/>
      <c r="NWQ1364" s="76"/>
      <c r="NWR1364" s="76"/>
      <c r="NWS1364" s="76"/>
      <c r="NWT1364" s="76"/>
      <c r="NWU1364" s="76"/>
      <c r="NWV1364" s="76"/>
      <c r="NWW1364" s="76"/>
      <c r="NWX1364" s="76"/>
      <c r="NWY1364" s="76"/>
      <c r="NWZ1364" s="76"/>
      <c r="NXA1364" s="76"/>
      <c r="NXB1364" s="76"/>
      <c r="NXC1364" s="76"/>
      <c r="NXD1364" s="76"/>
      <c r="NXE1364" s="76"/>
      <c r="NXF1364" s="76"/>
      <c r="NXG1364" s="76"/>
      <c r="NXH1364" s="76"/>
      <c r="NXI1364" s="76"/>
      <c r="NXJ1364" s="76"/>
      <c r="NXK1364" s="76"/>
      <c r="NXL1364" s="76"/>
      <c r="NXM1364" s="76"/>
      <c r="NXN1364" s="76"/>
      <c r="NXO1364" s="76"/>
      <c r="NXP1364" s="76"/>
      <c r="NXQ1364" s="76"/>
      <c r="NXR1364" s="76"/>
      <c r="NXS1364" s="76"/>
      <c r="NXT1364" s="76"/>
      <c r="NXU1364" s="76"/>
      <c r="NXV1364" s="76"/>
      <c r="NXW1364" s="76"/>
      <c r="NXX1364" s="76"/>
      <c r="NXY1364" s="76"/>
      <c r="NXZ1364" s="76"/>
      <c r="NYA1364" s="76"/>
      <c r="NYB1364" s="76"/>
      <c r="NYC1364" s="76"/>
      <c r="NYD1364" s="76"/>
      <c r="NYE1364" s="76"/>
      <c r="NYF1364" s="76"/>
      <c r="NYG1364" s="76"/>
      <c r="NYH1364" s="76"/>
      <c r="NYI1364" s="76"/>
      <c r="NYJ1364" s="76"/>
      <c r="NYK1364" s="76"/>
      <c r="NYL1364" s="76"/>
      <c r="NYM1364" s="76"/>
      <c r="NYN1364" s="76"/>
      <c r="NYO1364" s="76"/>
      <c r="NYP1364" s="76"/>
      <c r="NYQ1364" s="76"/>
      <c r="NYR1364" s="76"/>
      <c r="NYS1364" s="76"/>
      <c r="NYT1364" s="76"/>
      <c r="NYU1364" s="76"/>
      <c r="NYV1364" s="76"/>
      <c r="NYW1364" s="76"/>
      <c r="NYX1364" s="76"/>
      <c r="NYY1364" s="76"/>
      <c r="NYZ1364" s="76"/>
      <c r="NZA1364" s="76"/>
      <c r="NZB1364" s="76"/>
      <c r="NZC1364" s="76"/>
      <c r="NZD1364" s="76"/>
      <c r="NZE1364" s="76"/>
      <c r="NZF1364" s="76"/>
      <c r="NZG1364" s="76"/>
      <c r="NZH1364" s="76"/>
      <c r="NZI1364" s="76"/>
      <c r="NZJ1364" s="76"/>
      <c r="NZK1364" s="76"/>
      <c r="NZL1364" s="76"/>
      <c r="NZM1364" s="76"/>
      <c r="NZN1364" s="76"/>
      <c r="NZO1364" s="76"/>
      <c r="NZP1364" s="76"/>
      <c r="NZQ1364" s="76"/>
      <c r="NZR1364" s="76"/>
      <c r="NZS1364" s="76"/>
      <c r="NZT1364" s="76"/>
      <c r="NZU1364" s="76"/>
      <c r="NZV1364" s="76"/>
      <c r="NZW1364" s="76"/>
      <c r="NZX1364" s="76"/>
      <c r="NZY1364" s="76"/>
      <c r="NZZ1364" s="76"/>
      <c r="OAA1364" s="76"/>
      <c r="OAB1364" s="76"/>
      <c r="OAC1364" s="76"/>
      <c r="OAD1364" s="76"/>
      <c r="OAE1364" s="76"/>
      <c r="OAF1364" s="76"/>
      <c r="OAG1364" s="76"/>
      <c r="OAH1364" s="76"/>
      <c r="OAI1364" s="76"/>
      <c r="OAJ1364" s="76"/>
      <c r="OAK1364" s="76"/>
      <c r="OAL1364" s="76"/>
      <c r="OAM1364" s="76"/>
      <c r="OAN1364" s="76"/>
      <c r="OAO1364" s="76"/>
      <c r="OAP1364" s="76"/>
      <c r="OAQ1364" s="76"/>
      <c r="OAR1364" s="76"/>
      <c r="OAS1364" s="76"/>
      <c r="OAT1364" s="76"/>
      <c r="OAU1364" s="76"/>
      <c r="OAV1364" s="76"/>
      <c r="OAW1364" s="76"/>
      <c r="OAX1364" s="76"/>
      <c r="OAY1364" s="76"/>
      <c r="OAZ1364" s="76"/>
      <c r="OBA1364" s="76"/>
      <c r="OBB1364" s="76"/>
      <c r="OBC1364" s="76"/>
      <c r="OBD1364" s="76"/>
      <c r="OBE1364" s="76"/>
      <c r="OBF1364" s="76"/>
      <c r="OBG1364" s="76"/>
      <c r="OBH1364" s="76"/>
      <c r="OBI1364" s="76"/>
      <c r="OBJ1364" s="76"/>
      <c r="OBK1364" s="76"/>
      <c r="OBL1364" s="76"/>
      <c r="OBM1364" s="76"/>
      <c r="OBN1364" s="76"/>
      <c r="OBO1364" s="76"/>
      <c r="OBP1364" s="76"/>
      <c r="OBQ1364" s="76"/>
      <c r="OBR1364" s="76"/>
      <c r="OBS1364" s="76"/>
      <c r="OBT1364" s="76"/>
      <c r="OBU1364" s="76"/>
      <c r="OBV1364" s="76"/>
      <c r="OBW1364" s="76"/>
      <c r="OBX1364" s="76"/>
      <c r="OBY1364" s="76"/>
      <c r="OBZ1364" s="76"/>
      <c r="OCA1364" s="76"/>
      <c r="OCB1364" s="76"/>
      <c r="OCC1364" s="76"/>
      <c r="OCD1364" s="76"/>
      <c r="OCE1364" s="76"/>
      <c r="OCF1364" s="76"/>
      <c r="OCG1364" s="76"/>
      <c r="OCH1364" s="76"/>
      <c r="OCI1364" s="76"/>
      <c r="OCJ1364" s="76"/>
      <c r="OCK1364" s="76"/>
      <c r="OCL1364" s="76"/>
      <c r="OCM1364" s="76"/>
      <c r="OCN1364" s="76"/>
      <c r="OCO1364" s="76"/>
      <c r="OCP1364" s="76"/>
      <c r="OCQ1364" s="76"/>
      <c r="OCR1364" s="76"/>
      <c r="OCS1364" s="76"/>
      <c r="OCT1364" s="76"/>
      <c r="OCU1364" s="76"/>
      <c r="OCV1364" s="76"/>
      <c r="OCW1364" s="76"/>
      <c r="OCX1364" s="76"/>
      <c r="OCY1364" s="76"/>
      <c r="OCZ1364" s="76"/>
      <c r="ODA1364" s="50"/>
      <c r="ODB1364" s="76"/>
      <c r="ODC1364" s="76"/>
      <c r="ODD1364" s="76"/>
      <c r="ODE1364" s="76"/>
      <c r="ODF1364" s="76"/>
      <c r="ODG1364" s="76"/>
      <c r="ODH1364" s="76"/>
      <c r="ODI1364" s="76"/>
      <c r="ODJ1364" s="76"/>
      <c r="ODK1364" s="76"/>
      <c r="ODL1364" s="76"/>
      <c r="ODM1364" s="76"/>
      <c r="ODN1364" s="76"/>
      <c r="ODO1364" s="76"/>
      <c r="ODP1364" s="76"/>
      <c r="ODQ1364" s="76"/>
      <c r="ODR1364" s="76"/>
      <c r="ODS1364" s="76"/>
      <c r="ODT1364" s="76"/>
      <c r="ODU1364" s="76"/>
      <c r="ODV1364" s="76"/>
      <c r="ODW1364" s="76"/>
      <c r="ODX1364" s="76"/>
      <c r="ODY1364" s="76"/>
      <c r="ODZ1364" s="76"/>
      <c r="OEA1364" s="76"/>
      <c r="OEB1364" s="76"/>
      <c r="OEC1364" s="76"/>
      <c r="OED1364" s="76"/>
      <c r="OEE1364" s="76"/>
      <c r="OEF1364" s="76"/>
      <c r="OEG1364" s="76"/>
      <c r="OEH1364" s="76"/>
      <c r="OEI1364" s="76"/>
      <c r="OEJ1364" s="76"/>
      <c r="OEK1364" s="76"/>
      <c r="OEL1364" s="76"/>
      <c r="OEM1364" s="76"/>
      <c r="OEN1364" s="76"/>
      <c r="OEO1364" s="76"/>
      <c r="OEP1364" s="76"/>
      <c r="OEQ1364" s="76"/>
      <c r="OER1364" s="76"/>
      <c r="OES1364" s="76"/>
      <c r="OET1364" s="76"/>
      <c r="OEU1364" s="76"/>
      <c r="OEV1364" s="76"/>
      <c r="OEW1364" s="76"/>
      <c r="OEX1364" s="76"/>
      <c r="OEY1364" s="76"/>
      <c r="OEZ1364" s="76"/>
      <c r="OFA1364" s="76"/>
      <c r="OFB1364" s="76"/>
      <c r="OFC1364" s="76"/>
      <c r="OFD1364" s="76"/>
      <c r="OFE1364" s="76"/>
      <c r="OFF1364" s="76"/>
      <c r="OFG1364" s="76"/>
      <c r="OFH1364" s="76"/>
      <c r="OFI1364" s="76"/>
      <c r="OFJ1364" s="76"/>
      <c r="OFK1364" s="76"/>
      <c r="OFL1364" s="76"/>
      <c r="OFM1364" s="76"/>
      <c r="OFN1364" s="76"/>
      <c r="OFO1364" s="76"/>
      <c r="OFP1364" s="76"/>
      <c r="OFQ1364" s="76"/>
      <c r="OFR1364" s="76"/>
      <c r="OFS1364" s="76"/>
      <c r="OFT1364" s="76"/>
      <c r="OFU1364" s="76"/>
      <c r="OFV1364" s="76"/>
      <c r="OFW1364" s="76"/>
      <c r="OFX1364" s="76"/>
      <c r="OFY1364" s="76"/>
      <c r="OFZ1364" s="76"/>
      <c r="OGA1364" s="76"/>
      <c r="OGB1364" s="76"/>
      <c r="OGC1364" s="76"/>
      <c r="OGD1364" s="76"/>
      <c r="OGE1364" s="76"/>
      <c r="OGF1364" s="76"/>
      <c r="OGG1364" s="76"/>
      <c r="OGH1364" s="76"/>
      <c r="OGI1364" s="76"/>
      <c r="OGJ1364" s="76"/>
      <c r="OGK1364" s="76"/>
      <c r="OGL1364" s="76"/>
      <c r="OGM1364" s="76"/>
      <c r="OGN1364" s="76"/>
      <c r="OGO1364" s="76"/>
      <c r="OGP1364" s="76"/>
      <c r="OGQ1364" s="76"/>
      <c r="OGR1364" s="76"/>
      <c r="OGS1364" s="76"/>
      <c r="OGT1364" s="76"/>
      <c r="OGU1364" s="76"/>
      <c r="OGV1364" s="76"/>
      <c r="OGW1364" s="76"/>
      <c r="OGX1364" s="76"/>
      <c r="OGY1364" s="76"/>
      <c r="OGZ1364" s="76"/>
      <c r="OHA1364" s="76"/>
      <c r="OHB1364" s="76"/>
      <c r="OHC1364" s="76"/>
      <c r="OHD1364" s="76"/>
      <c r="OHE1364" s="76"/>
      <c r="OHF1364" s="76"/>
      <c r="OHG1364" s="76"/>
      <c r="OHH1364" s="76"/>
      <c r="OHI1364" s="76"/>
      <c r="OHJ1364" s="76"/>
      <c r="OHK1364" s="76"/>
      <c r="OHL1364" s="76"/>
      <c r="OHM1364" s="76"/>
      <c r="OHN1364" s="76"/>
      <c r="OHO1364" s="76"/>
      <c r="OHP1364" s="76"/>
      <c r="OHQ1364" s="76"/>
      <c r="OHR1364" s="76"/>
      <c r="OHS1364" s="76"/>
      <c r="OHT1364" s="76"/>
      <c r="OHU1364" s="76"/>
      <c r="OHV1364" s="76"/>
      <c r="OHW1364" s="76"/>
      <c r="OHX1364" s="76"/>
      <c r="OHY1364" s="76"/>
      <c r="OHZ1364" s="76"/>
      <c r="OIA1364" s="76"/>
      <c r="OIB1364" s="76"/>
      <c r="OIC1364" s="76"/>
      <c r="OID1364" s="76"/>
      <c r="OIE1364" s="76"/>
      <c r="OIF1364" s="76"/>
      <c r="OIG1364" s="76"/>
      <c r="OIH1364" s="76"/>
      <c r="OII1364" s="76"/>
      <c r="OIJ1364" s="76"/>
      <c r="OIK1364" s="76"/>
      <c r="OIL1364" s="76"/>
      <c r="OIM1364" s="76"/>
      <c r="OIN1364" s="76"/>
      <c r="OIO1364" s="76"/>
      <c r="OIP1364" s="76"/>
      <c r="OIQ1364" s="76"/>
      <c r="OIR1364" s="76"/>
      <c r="OIS1364" s="76"/>
      <c r="OIT1364" s="76"/>
      <c r="OIU1364" s="76"/>
      <c r="OIV1364" s="76"/>
      <c r="OIW1364" s="76"/>
      <c r="OIX1364" s="76"/>
      <c r="OIY1364" s="76"/>
      <c r="OIZ1364" s="76"/>
      <c r="OJA1364" s="76"/>
      <c r="OJB1364" s="76"/>
      <c r="OJC1364" s="76"/>
      <c r="OJD1364" s="76"/>
      <c r="OJE1364" s="76"/>
      <c r="OJF1364" s="76"/>
      <c r="OJG1364" s="76"/>
      <c r="OJH1364" s="76"/>
      <c r="OJI1364" s="76"/>
      <c r="OJJ1364" s="76"/>
      <c r="OJK1364" s="76"/>
      <c r="OJL1364" s="76"/>
      <c r="OJM1364" s="76"/>
      <c r="OJN1364" s="76"/>
      <c r="OJO1364" s="76"/>
      <c r="OJP1364" s="76"/>
      <c r="OJQ1364" s="76"/>
      <c r="OJR1364" s="76"/>
      <c r="OJS1364" s="76"/>
      <c r="OJT1364" s="76"/>
      <c r="OJU1364" s="76"/>
      <c r="OJV1364" s="76"/>
      <c r="OJW1364" s="76"/>
      <c r="OJX1364" s="76"/>
      <c r="OJY1364" s="76"/>
      <c r="OJZ1364" s="76"/>
      <c r="OKA1364" s="76"/>
      <c r="OKB1364" s="76"/>
      <c r="OKC1364" s="76"/>
      <c r="OKD1364" s="76"/>
      <c r="OKE1364" s="76"/>
      <c r="OKF1364" s="76"/>
      <c r="OKG1364" s="76"/>
      <c r="OKH1364" s="76"/>
      <c r="OKI1364" s="76"/>
      <c r="OKJ1364" s="76"/>
      <c r="OKK1364" s="76"/>
      <c r="OKL1364" s="76"/>
      <c r="OKM1364" s="76"/>
      <c r="OKN1364" s="76"/>
      <c r="OKO1364" s="76"/>
      <c r="OKP1364" s="76"/>
      <c r="OKQ1364" s="76"/>
      <c r="OKR1364" s="76"/>
      <c r="OKS1364" s="76"/>
      <c r="OKT1364" s="76"/>
      <c r="OKU1364" s="76"/>
      <c r="OKV1364" s="76"/>
      <c r="OKW1364" s="76"/>
      <c r="OKX1364" s="76"/>
      <c r="OKY1364" s="76"/>
      <c r="OKZ1364" s="76"/>
      <c r="OLA1364" s="76"/>
      <c r="OLB1364" s="76"/>
      <c r="OLC1364" s="76"/>
      <c r="OLD1364" s="76"/>
      <c r="OLE1364" s="76"/>
      <c r="OLF1364" s="76"/>
      <c r="OLG1364" s="76"/>
      <c r="OLH1364" s="76"/>
      <c r="OLI1364" s="76"/>
      <c r="OLJ1364" s="76"/>
      <c r="OLK1364" s="76"/>
      <c r="OLL1364" s="76"/>
      <c r="OLM1364" s="76"/>
      <c r="OLN1364" s="76"/>
      <c r="OLO1364" s="76"/>
      <c r="OLP1364" s="76"/>
      <c r="OLQ1364" s="76"/>
      <c r="OLR1364" s="76"/>
      <c r="OLS1364" s="76"/>
      <c r="OLT1364" s="76"/>
      <c r="OLU1364" s="76"/>
      <c r="OLV1364" s="76"/>
      <c r="OLW1364" s="76"/>
      <c r="OLX1364" s="76"/>
      <c r="OLY1364" s="76"/>
      <c r="OLZ1364" s="76"/>
      <c r="OMA1364" s="76"/>
      <c r="OMB1364" s="76"/>
      <c r="OMC1364" s="76"/>
      <c r="OMD1364" s="76"/>
      <c r="OME1364" s="76"/>
      <c r="OMF1364" s="76"/>
      <c r="OMG1364" s="76"/>
      <c r="OMH1364" s="76"/>
      <c r="OMI1364" s="76"/>
      <c r="OMJ1364" s="76"/>
      <c r="OMK1364" s="76"/>
      <c r="OML1364" s="76"/>
      <c r="OMM1364" s="76"/>
      <c r="OMN1364" s="76"/>
      <c r="OMO1364" s="76"/>
      <c r="OMP1364" s="76"/>
      <c r="OMQ1364" s="76"/>
      <c r="OMR1364" s="76"/>
      <c r="OMS1364" s="76"/>
      <c r="OMT1364" s="76"/>
      <c r="OMU1364" s="76"/>
      <c r="OMV1364" s="76"/>
      <c r="OMW1364" s="50"/>
      <c r="OMX1364" s="76"/>
      <c r="OMY1364" s="76"/>
      <c r="OMZ1364" s="76"/>
      <c r="ONA1364" s="76"/>
      <c r="ONB1364" s="76"/>
      <c r="ONC1364" s="76"/>
      <c r="OND1364" s="76"/>
      <c r="ONE1364" s="76"/>
      <c r="ONF1364" s="76"/>
      <c r="ONG1364" s="76"/>
      <c r="ONH1364" s="76"/>
      <c r="ONI1364" s="76"/>
      <c r="ONJ1364" s="76"/>
      <c r="ONK1364" s="76"/>
      <c r="ONL1364" s="76"/>
      <c r="ONM1364" s="76"/>
      <c r="ONN1364" s="76"/>
      <c r="ONO1364" s="76"/>
      <c r="ONP1364" s="76"/>
      <c r="ONQ1364" s="76"/>
      <c r="ONR1364" s="76"/>
      <c r="ONS1364" s="76"/>
      <c r="ONT1364" s="76"/>
      <c r="ONU1364" s="76"/>
      <c r="ONV1364" s="76"/>
      <c r="ONW1364" s="76"/>
      <c r="ONX1364" s="76"/>
      <c r="ONY1364" s="76"/>
      <c r="ONZ1364" s="76"/>
      <c r="OOA1364" s="76"/>
      <c r="OOB1364" s="76"/>
      <c r="OOC1364" s="76"/>
      <c r="OOD1364" s="76"/>
      <c r="OOE1364" s="76"/>
      <c r="OOF1364" s="76"/>
      <c r="OOG1364" s="76"/>
      <c r="OOH1364" s="76"/>
      <c r="OOI1364" s="76"/>
      <c r="OOJ1364" s="76"/>
      <c r="OOK1364" s="76"/>
      <c r="OOL1364" s="76"/>
      <c r="OOM1364" s="76"/>
      <c r="OON1364" s="76"/>
      <c r="OOO1364" s="76"/>
      <c r="OOP1364" s="76"/>
      <c r="OOQ1364" s="76"/>
      <c r="OOR1364" s="76"/>
      <c r="OOS1364" s="76"/>
      <c r="OOT1364" s="76"/>
      <c r="OOU1364" s="76"/>
      <c r="OOV1364" s="76"/>
      <c r="OOW1364" s="76"/>
      <c r="OOX1364" s="76"/>
      <c r="OOY1364" s="76"/>
      <c r="OOZ1364" s="76"/>
      <c r="OPA1364" s="76"/>
      <c r="OPB1364" s="76"/>
      <c r="OPC1364" s="76"/>
      <c r="OPD1364" s="76"/>
      <c r="OPE1364" s="76"/>
      <c r="OPF1364" s="76"/>
      <c r="OPG1364" s="76"/>
      <c r="OPH1364" s="76"/>
      <c r="OPI1364" s="76"/>
      <c r="OPJ1364" s="76"/>
      <c r="OPK1364" s="76"/>
      <c r="OPL1364" s="76"/>
      <c r="OPM1364" s="76"/>
      <c r="OPN1364" s="76"/>
      <c r="OPO1364" s="76"/>
      <c r="OPP1364" s="76"/>
      <c r="OPQ1364" s="76"/>
      <c r="OPR1364" s="76"/>
      <c r="OPS1364" s="76"/>
      <c r="OPT1364" s="76"/>
      <c r="OPU1364" s="76"/>
      <c r="OPV1364" s="76"/>
      <c r="OPW1364" s="76"/>
      <c r="OPX1364" s="76"/>
      <c r="OPY1364" s="76"/>
      <c r="OPZ1364" s="76"/>
      <c r="OQA1364" s="76"/>
      <c r="OQB1364" s="76"/>
      <c r="OQC1364" s="76"/>
      <c r="OQD1364" s="76"/>
      <c r="OQE1364" s="76"/>
      <c r="OQF1364" s="76"/>
      <c r="OQG1364" s="76"/>
      <c r="OQH1364" s="76"/>
      <c r="OQI1364" s="76"/>
      <c r="OQJ1364" s="76"/>
      <c r="OQK1364" s="76"/>
      <c r="OQL1364" s="76"/>
      <c r="OQM1364" s="76"/>
      <c r="OQN1364" s="76"/>
      <c r="OQO1364" s="76"/>
      <c r="OQP1364" s="76"/>
      <c r="OQQ1364" s="76"/>
      <c r="OQR1364" s="76"/>
      <c r="OQS1364" s="76"/>
      <c r="OQT1364" s="76"/>
      <c r="OQU1364" s="76"/>
      <c r="OQV1364" s="76"/>
      <c r="OQW1364" s="76"/>
      <c r="OQX1364" s="76"/>
      <c r="OQY1364" s="76"/>
      <c r="OQZ1364" s="76"/>
      <c r="ORA1364" s="76"/>
      <c r="ORB1364" s="76"/>
      <c r="ORC1364" s="76"/>
      <c r="ORD1364" s="76"/>
      <c r="ORE1364" s="76"/>
      <c r="ORF1364" s="76"/>
      <c r="ORG1364" s="76"/>
      <c r="ORH1364" s="76"/>
      <c r="ORI1364" s="76"/>
      <c r="ORJ1364" s="76"/>
      <c r="ORK1364" s="76"/>
      <c r="ORL1364" s="76"/>
      <c r="ORM1364" s="76"/>
      <c r="ORN1364" s="76"/>
      <c r="ORO1364" s="76"/>
      <c r="ORP1364" s="76"/>
      <c r="ORQ1364" s="76"/>
      <c r="ORR1364" s="76"/>
      <c r="ORS1364" s="76"/>
      <c r="ORT1364" s="76"/>
      <c r="ORU1364" s="76"/>
      <c r="ORV1364" s="76"/>
      <c r="ORW1364" s="76"/>
      <c r="ORX1364" s="76"/>
      <c r="ORY1364" s="76"/>
      <c r="ORZ1364" s="76"/>
      <c r="OSA1364" s="76"/>
      <c r="OSB1364" s="76"/>
      <c r="OSC1364" s="76"/>
      <c r="OSD1364" s="76"/>
      <c r="OSE1364" s="76"/>
      <c r="OSF1364" s="76"/>
      <c r="OSG1364" s="76"/>
      <c r="OSH1364" s="76"/>
      <c r="OSI1364" s="76"/>
      <c r="OSJ1364" s="76"/>
      <c r="OSK1364" s="76"/>
      <c r="OSL1364" s="76"/>
      <c r="OSM1364" s="76"/>
      <c r="OSN1364" s="76"/>
      <c r="OSO1364" s="76"/>
      <c r="OSP1364" s="76"/>
      <c r="OSQ1364" s="76"/>
      <c r="OSR1364" s="76"/>
      <c r="OSS1364" s="76"/>
      <c r="OST1364" s="76"/>
      <c r="OSU1364" s="76"/>
      <c r="OSV1364" s="76"/>
      <c r="OSW1364" s="76"/>
      <c r="OSX1364" s="76"/>
      <c r="OSY1364" s="76"/>
      <c r="OSZ1364" s="76"/>
      <c r="OTA1364" s="76"/>
      <c r="OTB1364" s="76"/>
      <c r="OTC1364" s="76"/>
      <c r="OTD1364" s="76"/>
      <c r="OTE1364" s="76"/>
      <c r="OTF1364" s="76"/>
      <c r="OTG1364" s="76"/>
      <c r="OTH1364" s="76"/>
      <c r="OTI1364" s="76"/>
      <c r="OTJ1364" s="76"/>
      <c r="OTK1364" s="76"/>
      <c r="OTL1364" s="76"/>
      <c r="OTM1364" s="76"/>
      <c r="OTN1364" s="76"/>
      <c r="OTO1364" s="76"/>
      <c r="OTP1364" s="76"/>
      <c r="OTQ1364" s="76"/>
      <c r="OTR1364" s="76"/>
      <c r="OTS1364" s="76"/>
      <c r="OTT1364" s="76"/>
      <c r="OTU1364" s="76"/>
      <c r="OTV1364" s="76"/>
      <c r="OTW1364" s="76"/>
      <c r="OTX1364" s="76"/>
      <c r="OTY1364" s="76"/>
      <c r="OTZ1364" s="76"/>
      <c r="OUA1364" s="76"/>
      <c r="OUB1364" s="76"/>
      <c r="OUC1364" s="76"/>
      <c r="OUD1364" s="76"/>
      <c r="OUE1364" s="76"/>
      <c r="OUF1364" s="76"/>
      <c r="OUG1364" s="76"/>
      <c r="OUH1364" s="76"/>
      <c r="OUI1364" s="76"/>
      <c r="OUJ1364" s="76"/>
      <c r="OUK1364" s="76"/>
      <c r="OUL1364" s="76"/>
      <c r="OUM1364" s="76"/>
      <c r="OUN1364" s="76"/>
      <c r="OUO1364" s="76"/>
      <c r="OUP1364" s="76"/>
      <c r="OUQ1364" s="76"/>
      <c r="OUR1364" s="76"/>
      <c r="OUS1364" s="76"/>
      <c r="OUT1364" s="76"/>
      <c r="OUU1364" s="76"/>
      <c r="OUV1364" s="76"/>
      <c r="OUW1364" s="76"/>
      <c r="OUX1364" s="76"/>
      <c r="OUY1364" s="76"/>
      <c r="OUZ1364" s="76"/>
      <c r="OVA1364" s="76"/>
      <c r="OVB1364" s="76"/>
      <c r="OVC1364" s="76"/>
      <c r="OVD1364" s="76"/>
      <c r="OVE1364" s="76"/>
      <c r="OVF1364" s="76"/>
      <c r="OVG1364" s="76"/>
      <c r="OVH1364" s="76"/>
      <c r="OVI1364" s="76"/>
      <c r="OVJ1364" s="76"/>
      <c r="OVK1364" s="76"/>
      <c r="OVL1364" s="76"/>
      <c r="OVM1364" s="76"/>
      <c r="OVN1364" s="76"/>
      <c r="OVO1364" s="76"/>
      <c r="OVP1364" s="76"/>
      <c r="OVQ1364" s="76"/>
      <c r="OVR1364" s="76"/>
      <c r="OVS1364" s="76"/>
      <c r="OVT1364" s="76"/>
      <c r="OVU1364" s="76"/>
      <c r="OVV1364" s="76"/>
      <c r="OVW1364" s="76"/>
      <c r="OVX1364" s="76"/>
      <c r="OVY1364" s="76"/>
      <c r="OVZ1364" s="76"/>
      <c r="OWA1364" s="76"/>
      <c r="OWB1364" s="76"/>
      <c r="OWC1364" s="76"/>
      <c r="OWD1364" s="76"/>
      <c r="OWE1364" s="76"/>
      <c r="OWF1364" s="76"/>
      <c r="OWG1364" s="76"/>
      <c r="OWH1364" s="76"/>
      <c r="OWI1364" s="76"/>
      <c r="OWJ1364" s="76"/>
      <c r="OWK1364" s="76"/>
      <c r="OWL1364" s="76"/>
      <c r="OWM1364" s="76"/>
      <c r="OWN1364" s="76"/>
      <c r="OWO1364" s="76"/>
      <c r="OWP1364" s="76"/>
      <c r="OWQ1364" s="76"/>
      <c r="OWR1364" s="76"/>
      <c r="OWS1364" s="50"/>
      <c r="OWT1364" s="76"/>
      <c r="OWU1364" s="76"/>
      <c r="OWV1364" s="76"/>
      <c r="OWW1364" s="76"/>
      <c r="OWX1364" s="76"/>
      <c r="OWY1364" s="76"/>
      <c r="OWZ1364" s="76"/>
      <c r="OXA1364" s="76"/>
      <c r="OXB1364" s="76"/>
      <c r="OXC1364" s="76"/>
      <c r="OXD1364" s="76"/>
      <c r="OXE1364" s="76"/>
      <c r="OXF1364" s="76"/>
      <c r="OXG1364" s="76"/>
      <c r="OXH1364" s="76"/>
      <c r="OXI1364" s="76"/>
      <c r="OXJ1364" s="76"/>
      <c r="OXK1364" s="76"/>
      <c r="OXL1364" s="76"/>
      <c r="OXM1364" s="76"/>
      <c r="OXN1364" s="76"/>
      <c r="OXO1364" s="76"/>
      <c r="OXP1364" s="76"/>
      <c r="OXQ1364" s="76"/>
      <c r="OXR1364" s="76"/>
      <c r="OXS1364" s="76"/>
      <c r="OXT1364" s="76"/>
      <c r="OXU1364" s="76"/>
      <c r="OXV1364" s="76"/>
      <c r="OXW1364" s="76"/>
      <c r="OXX1364" s="76"/>
      <c r="OXY1364" s="76"/>
      <c r="OXZ1364" s="76"/>
      <c r="OYA1364" s="76"/>
      <c r="OYB1364" s="76"/>
      <c r="OYC1364" s="76"/>
      <c r="OYD1364" s="76"/>
      <c r="OYE1364" s="76"/>
      <c r="OYF1364" s="76"/>
      <c r="OYG1364" s="76"/>
      <c r="OYH1364" s="76"/>
      <c r="OYI1364" s="76"/>
      <c r="OYJ1364" s="76"/>
      <c r="OYK1364" s="76"/>
      <c r="OYL1364" s="76"/>
      <c r="OYM1364" s="76"/>
      <c r="OYN1364" s="76"/>
      <c r="OYO1364" s="76"/>
      <c r="OYP1364" s="76"/>
      <c r="OYQ1364" s="76"/>
      <c r="OYR1364" s="76"/>
      <c r="OYS1364" s="76"/>
      <c r="OYT1364" s="76"/>
      <c r="OYU1364" s="76"/>
      <c r="OYV1364" s="76"/>
      <c r="OYW1364" s="76"/>
      <c r="OYX1364" s="76"/>
      <c r="OYY1364" s="76"/>
      <c r="OYZ1364" s="76"/>
      <c r="OZA1364" s="76"/>
      <c r="OZB1364" s="76"/>
      <c r="OZC1364" s="76"/>
      <c r="OZD1364" s="76"/>
      <c r="OZE1364" s="76"/>
      <c r="OZF1364" s="76"/>
      <c r="OZG1364" s="76"/>
      <c r="OZH1364" s="76"/>
      <c r="OZI1364" s="76"/>
      <c r="OZJ1364" s="76"/>
      <c r="OZK1364" s="76"/>
      <c r="OZL1364" s="76"/>
      <c r="OZM1364" s="76"/>
      <c r="OZN1364" s="76"/>
      <c r="OZO1364" s="76"/>
      <c r="OZP1364" s="76"/>
      <c r="OZQ1364" s="76"/>
      <c r="OZR1364" s="76"/>
      <c r="OZS1364" s="76"/>
      <c r="OZT1364" s="76"/>
      <c r="OZU1364" s="76"/>
      <c r="OZV1364" s="76"/>
      <c r="OZW1364" s="76"/>
      <c r="OZX1364" s="76"/>
      <c r="OZY1364" s="76"/>
      <c r="OZZ1364" s="76"/>
      <c r="PAA1364" s="76"/>
      <c r="PAB1364" s="76"/>
      <c r="PAC1364" s="76"/>
      <c r="PAD1364" s="76"/>
      <c r="PAE1364" s="76"/>
      <c r="PAF1364" s="76"/>
      <c r="PAG1364" s="76"/>
      <c r="PAH1364" s="76"/>
      <c r="PAI1364" s="76"/>
      <c r="PAJ1364" s="76"/>
      <c r="PAK1364" s="76"/>
      <c r="PAL1364" s="76"/>
      <c r="PAM1364" s="76"/>
      <c r="PAN1364" s="76"/>
      <c r="PAO1364" s="76"/>
      <c r="PAP1364" s="76"/>
      <c r="PAQ1364" s="76"/>
      <c r="PAR1364" s="76"/>
      <c r="PAS1364" s="76"/>
      <c r="PAT1364" s="76"/>
      <c r="PAU1364" s="76"/>
      <c r="PAV1364" s="76"/>
      <c r="PAW1364" s="76"/>
      <c r="PAX1364" s="76"/>
      <c r="PAY1364" s="76"/>
      <c r="PAZ1364" s="76"/>
      <c r="PBA1364" s="76"/>
      <c r="PBB1364" s="76"/>
      <c r="PBC1364" s="76"/>
      <c r="PBD1364" s="76"/>
      <c r="PBE1364" s="76"/>
      <c r="PBF1364" s="76"/>
      <c r="PBG1364" s="76"/>
      <c r="PBH1364" s="76"/>
      <c r="PBI1364" s="76"/>
      <c r="PBJ1364" s="76"/>
      <c r="PBK1364" s="76"/>
      <c r="PBL1364" s="76"/>
      <c r="PBM1364" s="76"/>
      <c r="PBN1364" s="76"/>
      <c r="PBO1364" s="76"/>
      <c r="PBP1364" s="76"/>
      <c r="PBQ1364" s="76"/>
      <c r="PBR1364" s="76"/>
      <c r="PBS1364" s="76"/>
      <c r="PBT1364" s="76"/>
      <c r="PBU1364" s="76"/>
      <c r="PBV1364" s="76"/>
      <c r="PBW1364" s="76"/>
      <c r="PBX1364" s="76"/>
      <c r="PBY1364" s="76"/>
      <c r="PBZ1364" s="76"/>
      <c r="PCA1364" s="76"/>
      <c r="PCB1364" s="76"/>
      <c r="PCC1364" s="76"/>
      <c r="PCD1364" s="76"/>
      <c r="PCE1364" s="76"/>
      <c r="PCF1364" s="76"/>
      <c r="PCG1364" s="76"/>
      <c r="PCH1364" s="76"/>
      <c r="PCI1364" s="76"/>
      <c r="PCJ1364" s="76"/>
      <c r="PCK1364" s="76"/>
      <c r="PCL1364" s="76"/>
      <c r="PCM1364" s="76"/>
      <c r="PCN1364" s="76"/>
      <c r="PCO1364" s="76"/>
      <c r="PCP1364" s="76"/>
      <c r="PCQ1364" s="76"/>
      <c r="PCR1364" s="76"/>
      <c r="PCS1364" s="76"/>
      <c r="PCT1364" s="76"/>
      <c r="PCU1364" s="76"/>
      <c r="PCV1364" s="76"/>
      <c r="PCW1364" s="76"/>
      <c r="PCX1364" s="76"/>
      <c r="PCY1364" s="76"/>
      <c r="PCZ1364" s="76"/>
      <c r="PDA1364" s="76"/>
      <c r="PDB1364" s="76"/>
      <c r="PDC1364" s="76"/>
      <c r="PDD1364" s="76"/>
      <c r="PDE1364" s="76"/>
      <c r="PDF1364" s="76"/>
      <c r="PDG1364" s="76"/>
      <c r="PDH1364" s="76"/>
      <c r="PDI1364" s="76"/>
      <c r="PDJ1364" s="76"/>
      <c r="PDK1364" s="76"/>
      <c r="PDL1364" s="76"/>
      <c r="PDM1364" s="76"/>
      <c r="PDN1364" s="76"/>
      <c r="PDO1364" s="76"/>
      <c r="PDP1364" s="76"/>
      <c r="PDQ1364" s="76"/>
      <c r="PDR1364" s="76"/>
      <c r="PDS1364" s="76"/>
      <c r="PDT1364" s="76"/>
      <c r="PDU1364" s="76"/>
      <c r="PDV1364" s="76"/>
      <c r="PDW1364" s="76"/>
      <c r="PDX1364" s="76"/>
      <c r="PDY1364" s="76"/>
      <c r="PDZ1364" s="76"/>
      <c r="PEA1364" s="76"/>
      <c r="PEB1364" s="76"/>
      <c r="PEC1364" s="76"/>
      <c r="PED1364" s="76"/>
      <c r="PEE1364" s="76"/>
      <c r="PEF1364" s="76"/>
      <c r="PEG1364" s="76"/>
      <c r="PEH1364" s="76"/>
      <c r="PEI1364" s="76"/>
      <c r="PEJ1364" s="76"/>
      <c r="PEK1364" s="76"/>
      <c r="PEL1364" s="76"/>
      <c r="PEM1364" s="76"/>
      <c r="PEN1364" s="76"/>
      <c r="PEO1364" s="76"/>
      <c r="PEP1364" s="76"/>
      <c r="PEQ1364" s="76"/>
      <c r="PER1364" s="76"/>
      <c r="PES1364" s="76"/>
      <c r="PET1364" s="76"/>
      <c r="PEU1364" s="76"/>
      <c r="PEV1364" s="76"/>
      <c r="PEW1364" s="76"/>
      <c r="PEX1364" s="76"/>
      <c r="PEY1364" s="76"/>
      <c r="PEZ1364" s="76"/>
      <c r="PFA1364" s="76"/>
      <c r="PFB1364" s="76"/>
      <c r="PFC1364" s="76"/>
      <c r="PFD1364" s="76"/>
      <c r="PFE1364" s="76"/>
      <c r="PFF1364" s="76"/>
      <c r="PFG1364" s="76"/>
      <c r="PFH1364" s="76"/>
      <c r="PFI1364" s="76"/>
      <c r="PFJ1364" s="76"/>
      <c r="PFK1364" s="76"/>
      <c r="PFL1364" s="76"/>
      <c r="PFM1364" s="76"/>
      <c r="PFN1364" s="76"/>
      <c r="PFO1364" s="76"/>
      <c r="PFP1364" s="76"/>
      <c r="PFQ1364" s="76"/>
      <c r="PFR1364" s="76"/>
      <c r="PFS1364" s="76"/>
      <c r="PFT1364" s="76"/>
      <c r="PFU1364" s="76"/>
      <c r="PFV1364" s="76"/>
      <c r="PFW1364" s="76"/>
      <c r="PFX1364" s="76"/>
      <c r="PFY1364" s="76"/>
      <c r="PFZ1364" s="76"/>
      <c r="PGA1364" s="76"/>
      <c r="PGB1364" s="76"/>
      <c r="PGC1364" s="76"/>
      <c r="PGD1364" s="76"/>
      <c r="PGE1364" s="76"/>
      <c r="PGF1364" s="76"/>
      <c r="PGG1364" s="76"/>
      <c r="PGH1364" s="76"/>
      <c r="PGI1364" s="76"/>
      <c r="PGJ1364" s="76"/>
      <c r="PGK1364" s="76"/>
      <c r="PGL1364" s="76"/>
      <c r="PGM1364" s="76"/>
      <c r="PGN1364" s="76"/>
      <c r="PGO1364" s="50"/>
      <c r="PGP1364" s="76"/>
      <c r="PGQ1364" s="76"/>
      <c r="PGR1364" s="76"/>
      <c r="PGS1364" s="76"/>
      <c r="PGT1364" s="76"/>
      <c r="PGU1364" s="76"/>
      <c r="PGV1364" s="76"/>
      <c r="PGW1364" s="76"/>
      <c r="PGX1364" s="76"/>
      <c r="PGY1364" s="76"/>
      <c r="PGZ1364" s="76"/>
      <c r="PHA1364" s="76"/>
      <c r="PHB1364" s="76"/>
      <c r="PHC1364" s="76"/>
      <c r="PHD1364" s="76"/>
      <c r="PHE1364" s="76"/>
      <c r="PHF1364" s="76"/>
      <c r="PHG1364" s="76"/>
      <c r="PHH1364" s="76"/>
      <c r="PHI1364" s="76"/>
      <c r="PHJ1364" s="76"/>
      <c r="PHK1364" s="76"/>
      <c r="PHL1364" s="76"/>
      <c r="PHM1364" s="76"/>
      <c r="PHN1364" s="76"/>
      <c r="PHO1364" s="76"/>
      <c r="PHP1364" s="76"/>
      <c r="PHQ1364" s="76"/>
      <c r="PHR1364" s="76"/>
      <c r="PHS1364" s="76"/>
      <c r="PHT1364" s="76"/>
      <c r="PHU1364" s="76"/>
      <c r="PHV1364" s="76"/>
      <c r="PHW1364" s="76"/>
      <c r="PHX1364" s="76"/>
      <c r="PHY1364" s="76"/>
      <c r="PHZ1364" s="76"/>
      <c r="PIA1364" s="76"/>
      <c r="PIB1364" s="76"/>
      <c r="PIC1364" s="76"/>
      <c r="PID1364" s="76"/>
      <c r="PIE1364" s="76"/>
      <c r="PIF1364" s="76"/>
      <c r="PIG1364" s="76"/>
      <c r="PIH1364" s="76"/>
      <c r="PII1364" s="76"/>
      <c r="PIJ1364" s="76"/>
      <c r="PIK1364" s="76"/>
      <c r="PIL1364" s="76"/>
      <c r="PIM1364" s="76"/>
      <c r="PIN1364" s="76"/>
      <c r="PIO1364" s="76"/>
      <c r="PIP1364" s="76"/>
      <c r="PIQ1364" s="76"/>
      <c r="PIR1364" s="76"/>
      <c r="PIS1364" s="76"/>
      <c r="PIT1364" s="76"/>
      <c r="PIU1364" s="76"/>
      <c r="PIV1364" s="76"/>
      <c r="PIW1364" s="76"/>
      <c r="PIX1364" s="76"/>
      <c r="PIY1364" s="76"/>
      <c r="PIZ1364" s="76"/>
      <c r="PJA1364" s="76"/>
      <c r="PJB1364" s="76"/>
      <c r="PJC1364" s="76"/>
      <c r="PJD1364" s="76"/>
      <c r="PJE1364" s="76"/>
      <c r="PJF1364" s="76"/>
      <c r="PJG1364" s="76"/>
      <c r="PJH1364" s="76"/>
      <c r="PJI1364" s="76"/>
      <c r="PJJ1364" s="76"/>
      <c r="PJK1364" s="76"/>
      <c r="PJL1364" s="76"/>
      <c r="PJM1364" s="76"/>
      <c r="PJN1364" s="76"/>
      <c r="PJO1364" s="76"/>
      <c r="PJP1364" s="76"/>
      <c r="PJQ1364" s="76"/>
      <c r="PJR1364" s="76"/>
      <c r="PJS1364" s="76"/>
      <c r="PJT1364" s="76"/>
      <c r="PJU1364" s="76"/>
      <c r="PJV1364" s="76"/>
      <c r="PJW1364" s="76"/>
      <c r="PJX1364" s="76"/>
      <c r="PJY1364" s="76"/>
      <c r="PJZ1364" s="76"/>
      <c r="PKA1364" s="76"/>
      <c r="PKB1364" s="76"/>
      <c r="PKC1364" s="76"/>
      <c r="PKD1364" s="76"/>
      <c r="PKE1364" s="76"/>
      <c r="PKF1364" s="76"/>
      <c r="PKG1364" s="76"/>
      <c r="PKH1364" s="76"/>
      <c r="PKI1364" s="76"/>
      <c r="PKJ1364" s="76"/>
      <c r="PKK1364" s="76"/>
      <c r="PKL1364" s="76"/>
      <c r="PKM1364" s="76"/>
      <c r="PKN1364" s="76"/>
      <c r="PKO1364" s="76"/>
      <c r="PKP1364" s="76"/>
      <c r="PKQ1364" s="76"/>
      <c r="PKR1364" s="76"/>
      <c r="PKS1364" s="76"/>
      <c r="PKT1364" s="76"/>
      <c r="PKU1364" s="76"/>
      <c r="PKV1364" s="76"/>
      <c r="PKW1364" s="76"/>
      <c r="PKX1364" s="76"/>
      <c r="PKY1364" s="76"/>
      <c r="PKZ1364" s="76"/>
      <c r="PLA1364" s="76"/>
      <c r="PLB1364" s="76"/>
      <c r="PLC1364" s="76"/>
      <c r="PLD1364" s="76"/>
      <c r="PLE1364" s="76"/>
      <c r="PLF1364" s="76"/>
      <c r="PLG1364" s="76"/>
      <c r="PLH1364" s="76"/>
      <c r="PLI1364" s="76"/>
      <c r="PLJ1364" s="76"/>
      <c r="PLK1364" s="76"/>
      <c r="PLL1364" s="76"/>
      <c r="PLM1364" s="76"/>
      <c r="PLN1364" s="76"/>
      <c r="PLO1364" s="76"/>
      <c r="PLP1364" s="76"/>
      <c r="PLQ1364" s="76"/>
      <c r="PLR1364" s="76"/>
      <c r="PLS1364" s="76"/>
      <c r="PLT1364" s="76"/>
      <c r="PLU1364" s="76"/>
      <c r="PLV1364" s="76"/>
      <c r="PLW1364" s="76"/>
      <c r="PLX1364" s="76"/>
      <c r="PLY1364" s="76"/>
      <c r="PLZ1364" s="76"/>
      <c r="PMA1364" s="76"/>
      <c r="PMB1364" s="76"/>
      <c r="PMC1364" s="76"/>
      <c r="PMD1364" s="76"/>
      <c r="PME1364" s="76"/>
      <c r="PMF1364" s="76"/>
      <c r="PMG1364" s="76"/>
      <c r="PMH1364" s="76"/>
      <c r="PMI1364" s="76"/>
      <c r="PMJ1364" s="76"/>
      <c r="PMK1364" s="76"/>
      <c r="PML1364" s="76"/>
      <c r="PMM1364" s="76"/>
      <c r="PMN1364" s="76"/>
      <c r="PMO1364" s="76"/>
      <c r="PMP1364" s="76"/>
      <c r="PMQ1364" s="76"/>
      <c r="PMR1364" s="76"/>
      <c r="PMS1364" s="76"/>
      <c r="PMT1364" s="76"/>
      <c r="PMU1364" s="76"/>
      <c r="PMV1364" s="76"/>
      <c r="PMW1364" s="76"/>
      <c r="PMX1364" s="76"/>
      <c r="PMY1364" s="76"/>
      <c r="PMZ1364" s="76"/>
      <c r="PNA1364" s="76"/>
      <c r="PNB1364" s="76"/>
      <c r="PNC1364" s="76"/>
      <c r="PND1364" s="76"/>
      <c r="PNE1364" s="76"/>
      <c r="PNF1364" s="76"/>
      <c r="PNG1364" s="76"/>
      <c r="PNH1364" s="76"/>
      <c r="PNI1364" s="76"/>
      <c r="PNJ1364" s="76"/>
      <c r="PNK1364" s="76"/>
      <c r="PNL1364" s="76"/>
      <c r="PNM1364" s="76"/>
      <c r="PNN1364" s="76"/>
      <c r="PNO1364" s="76"/>
      <c r="PNP1364" s="76"/>
      <c r="PNQ1364" s="76"/>
      <c r="PNR1364" s="76"/>
      <c r="PNS1364" s="76"/>
      <c r="PNT1364" s="76"/>
      <c r="PNU1364" s="76"/>
      <c r="PNV1364" s="76"/>
      <c r="PNW1364" s="76"/>
      <c r="PNX1364" s="76"/>
      <c r="PNY1364" s="76"/>
      <c r="PNZ1364" s="76"/>
      <c r="POA1364" s="76"/>
      <c r="POB1364" s="76"/>
      <c r="POC1364" s="76"/>
      <c r="POD1364" s="76"/>
      <c r="POE1364" s="76"/>
      <c r="POF1364" s="76"/>
      <c r="POG1364" s="76"/>
      <c r="POH1364" s="76"/>
      <c r="POI1364" s="76"/>
      <c r="POJ1364" s="76"/>
      <c r="POK1364" s="76"/>
      <c r="POL1364" s="76"/>
      <c r="POM1364" s="76"/>
      <c r="PON1364" s="76"/>
      <c r="POO1364" s="76"/>
      <c r="POP1364" s="76"/>
      <c r="POQ1364" s="76"/>
      <c r="POR1364" s="76"/>
      <c r="POS1364" s="76"/>
      <c r="POT1364" s="76"/>
      <c r="POU1364" s="76"/>
      <c r="POV1364" s="76"/>
      <c r="POW1364" s="76"/>
      <c r="POX1364" s="76"/>
      <c r="POY1364" s="76"/>
      <c r="POZ1364" s="76"/>
      <c r="PPA1364" s="76"/>
      <c r="PPB1364" s="76"/>
      <c r="PPC1364" s="76"/>
      <c r="PPD1364" s="76"/>
      <c r="PPE1364" s="76"/>
      <c r="PPF1364" s="76"/>
      <c r="PPG1364" s="76"/>
      <c r="PPH1364" s="76"/>
      <c r="PPI1364" s="76"/>
      <c r="PPJ1364" s="76"/>
      <c r="PPK1364" s="76"/>
      <c r="PPL1364" s="76"/>
      <c r="PPM1364" s="76"/>
      <c r="PPN1364" s="76"/>
      <c r="PPO1364" s="76"/>
      <c r="PPP1364" s="76"/>
      <c r="PPQ1364" s="76"/>
      <c r="PPR1364" s="76"/>
      <c r="PPS1364" s="76"/>
      <c r="PPT1364" s="76"/>
      <c r="PPU1364" s="76"/>
      <c r="PPV1364" s="76"/>
      <c r="PPW1364" s="76"/>
      <c r="PPX1364" s="76"/>
      <c r="PPY1364" s="76"/>
      <c r="PPZ1364" s="76"/>
      <c r="PQA1364" s="76"/>
      <c r="PQB1364" s="76"/>
      <c r="PQC1364" s="76"/>
      <c r="PQD1364" s="76"/>
      <c r="PQE1364" s="76"/>
      <c r="PQF1364" s="76"/>
      <c r="PQG1364" s="76"/>
      <c r="PQH1364" s="76"/>
      <c r="PQI1364" s="76"/>
      <c r="PQJ1364" s="76"/>
      <c r="PQK1364" s="50"/>
      <c r="PQL1364" s="76"/>
      <c r="PQM1364" s="76"/>
      <c r="PQN1364" s="76"/>
      <c r="PQO1364" s="76"/>
      <c r="PQP1364" s="76"/>
      <c r="PQQ1364" s="76"/>
      <c r="PQR1364" s="76"/>
      <c r="PQS1364" s="76"/>
      <c r="PQT1364" s="76"/>
      <c r="PQU1364" s="76"/>
      <c r="PQV1364" s="76"/>
      <c r="PQW1364" s="76"/>
      <c r="PQX1364" s="76"/>
      <c r="PQY1364" s="76"/>
      <c r="PQZ1364" s="76"/>
      <c r="PRA1364" s="76"/>
      <c r="PRB1364" s="76"/>
      <c r="PRC1364" s="76"/>
      <c r="PRD1364" s="76"/>
      <c r="PRE1364" s="76"/>
      <c r="PRF1364" s="76"/>
      <c r="PRG1364" s="76"/>
      <c r="PRH1364" s="76"/>
      <c r="PRI1364" s="76"/>
      <c r="PRJ1364" s="76"/>
      <c r="PRK1364" s="76"/>
      <c r="PRL1364" s="76"/>
      <c r="PRM1364" s="76"/>
      <c r="PRN1364" s="76"/>
      <c r="PRO1364" s="76"/>
      <c r="PRP1364" s="76"/>
      <c r="PRQ1364" s="76"/>
      <c r="PRR1364" s="76"/>
      <c r="PRS1364" s="76"/>
      <c r="PRT1364" s="76"/>
      <c r="PRU1364" s="76"/>
      <c r="PRV1364" s="76"/>
      <c r="PRW1364" s="76"/>
      <c r="PRX1364" s="76"/>
      <c r="PRY1364" s="76"/>
      <c r="PRZ1364" s="76"/>
      <c r="PSA1364" s="76"/>
      <c r="PSB1364" s="76"/>
      <c r="PSC1364" s="76"/>
      <c r="PSD1364" s="76"/>
      <c r="PSE1364" s="76"/>
      <c r="PSF1364" s="76"/>
      <c r="PSG1364" s="76"/>
      <c r="PSH1364" s="76"/>
      <c r="PSI1364" s="76"/>
      <c r="PSJ1364" s="76"/>
      <c r="PSK1364" s="76"/>
      <c r="PSL1364" s="76"/>
      <c r="PSM1364" s="76"/>
      <c r="PSN1364" s="76"/>
      <c r="PSO1364" s="76"/>
      <c r="PSP1364" s="76"/>
      <c r="PSQ1364" s="76"/>
      <c r="PSR1364" s="76"/>
      <c r="PSS1364" s="76"/>
      <c r="PST1364" s="76"/>
      <c r="PSU1364" s="76"/>
      <c r="PSV1364" s="76"/>
      <c r="PSW1364" s="76"/>
      <c r="PSX1364" s="76"/>
      <c r="PSY1364" s="76"/>
      <c r="PSZ1364" s="76"/>
      <c r="PTA1364" s="76"/>
      <c r="PTB1364" s="76"/>
      <c r="PTC1364" s="76"/>
      <c r="PTD1364" s="76"/>
      <c r="PTE1364" s="76"/>
      <c r="PTF1364" s="76"/>
      <c r="PTG1364" s="76"/>
      <c r="PTH1364" s="76"/>
      <c r="PTI1364" s="76"/>
      <c r="PTJ1364" s="76"/>
      <c r="PTK1364" s="76"/>
      <c r="PTL1364" s="76"/>
      <c r="PTM1364" s="76"/>
      <c r="PTN1364" s="76"/>
      <c r="PTO1364" s="76"/>
      <c r="PTP1364" s="76"/>
      <c r="PTQ1364" s="76"/>
      <c r="PTR1364" s="76"/>
      <c r="PTS1364" s="76"/>
      <c r="PTT1364" s="76"/>
      <c r="PTU1364" s="76"/>
      <c r="PTV1364" s="76"/>
      <c r="PTW1364" s="76"/>
      <c r="PTX1364" s="76"/>
      <c r="PTY1364" s="76"/>
      <c r="PTZ1364" s="76"/>
      <c r="PUA1364" s="76"/>
      <c r="PUB1364" s="76"/>
      <c r="PUC1364" s="76"/>
      <c r="PUD1364" s="76"/>
      <c r="PUE1364" s="76"/>
      <c r="PUF1364" s="76"/>
      <c r="PUG1364" s="76"/>
      <c r="PUH1364" s="76"/>
      <c r="PUI1364" s="76"/>
      <c r="PUJ1364" s="76"/>
      <c r="PUK1364" s="76"/>
      <c r="PUL1364" s="76"/>
      <c r="PUM1364" s="76"/>
      <c r="PUN1364" s="76"/>
      <c r="PUO1364" s="76"/>
      <c r="PUP1364" s="76"/>
      <c r="PUQ1364" s="76"/>
      <c r="PUR1364" s="76"/>
      <c r="PUS1364" s="76"/>
      <c r="PUT1364" s="76"/>
      <c r="PUU1364" s="76"/>
      <c r="PUV1364" s="76"/>
      <c r="PUW1364" s="76"/>
      <c r="PUX1364" s="76"/>
      <c r="PUY1364" s="76"/>
      <c r="PUZ1364" s="76"/>
      <c r="PVA1364" s="76"/>
      <c r="PVB1364" s="76"/>
      <c r="PVC1364" s="76"/>
      <c r="PVD1364" s="76"/>
      <c r="PVE1364" s="76"/>
      <c r="PVF1364" s="76"/>
      <c r="PVG1364" s="76"/>
      <c r="PVH1364" s="76"/>
      <c r="PVI1364" s="76"/>
      <c r="PVJ1364" s="76"/>
      <c r="PVK1364" s="76"/>
      <c r="PVL1364" s="76"/>
      <c r="PVM1364" s="76"/>
      <c r="PVN1364" s="76"/>
      <c r="PVO1364" s="76"/>
      <c r="PVP1364" s="76"/>
      <c r="PVQ1364" s="76"/>
      <c r="PVR1364" s="76"/>
      <c r="PVS1364" s="76"/>
      <c r="PVT1364" s="76"/>
      <c r="PVU1364" s="76"/>
      <c r="PVV1364" s="76"/>
      <c r="PVW1364" s="76"/>
      <c r="PVX1364" s="76"/>
      <c r="PVY1364" s="76"/>
      <c r="PVZ1364" s="76"/>
      <c r="PWA1364" s="76"/>
      <c r="PWB1364" s="76"/>
      <c r="PWC1364" s="76"/>
      <c r="PWD1364" s="76"/>
      <c r="PWE1364" s="76"/>
      <c r="PWF1364" s="76"/>
      <c r="PWG1364" s="76"/>
      <c r="PWH1364" s="76"/>
      <c r="PWI1364" s="76"/>
      <c r="PWJ1364" s="76"/>
      <c r="PWK1364" s="76"/>
      <c r="PWL1364" s="76"/>
      <c r="PWM1364" s="76"/>
      <c r="PWN1364" s="76"/>
      <c r="PWO1364" s="76"/>
      <c r="PWP1364" s="76"/>
      <c r="PWQ1364" s="76"/>
      <c r="PWR1364" s="76"/>
      <c r="PWS1364" s="76"/>
      <c r="PWT1364" s="76"/>
      <c r="PWU1364" s="76"/>
      <c r="PWV1364" s="76"/>
      <c r="PWW1364" s="76"/>
      <c r="PWX1364" s="76"/>
      <c r="PWY1364" s="76"/>
      <c r="PWZ1364" s="76"/>
      <c r="PXA1364" s="76"/>
      <c r="PXB1364" s="76"/>
      <c r="PXC1364" s="76"/>
      <c r="PXD1364" s="76"/>
      <c r="PXE1364" s="76"/>
      <c r="PXF1364" s="76"/>
      <c r="PXG1364" s="76"/>
      <c r="PXH1364" s="76"/>
      <c r="PXI1364" s="76"/>
      <c r="PXJ1364" s="76"/>
      <c r="PXK1364" s="76"/>
      <c r="PXL1364" s="76"/>
      <c r="PXM1364" s="76"/>
      <c r="PXN1364" s="76"/>
      <c r="PXO1364" s="76"/>
      <c r="PXP1364" s="76"/>
      <c r="PXQ1364" s="76"/>
      <c r="PXR1364" s="76"/>
      <c r="PXS1364" s="76"/>
      <c r="PXT1364" s="76"/>
      <c r="PXU1364" s="76"/>
      <c r="PXV1364" s="76"/>
      <c r="PXW1364" s="76"/>
      <c r="PXX1364" s="76"/>
      <c r="PXY1364" s="76"/>
      <c r="PXZ1364" s="76"/>
      <c r="PYA1364" s="76"/>
      <c r="PYB1364" s="76"/>
      <c r="PYC1364" s="76"/>
      <c r="PYD1364" s="76"/>
      <c r="PYE1364" s="76"/>
      <c r="PYF1364" s="76"/>
      <c r="PYG1364" s="76"/>
      <c r="PYH1364" s="76"/>
      <c r="PYI1364" s="76"/>
      <c r="PYJ1364" s="76"/>
      <c r="PYK1364" s="76"/>
      <c r="PYL1364" s="76"/>
      <c r="PYM1364" s="76"/>
      <c r="PYN1364" s="76"/>
      <c r="PYO1364" s="76"/>
      <c r="PYP1364" s="76"/>
      <c r="PYQ1364" s="76"/>
      <c r="PYR1364" s="76"/>
      <c r="PYS1364" s="76"/>
      <c r="PYT1364" s="76"/>
      <c r="PYU1364" s="76"/>
      <c r="PYV1364" s="76"/>
      <c r="PYW1364" s="76"/>
      <c r="PYX1364" s="76"/>
      <c r="PYY1364" s="76"/>
      <c r="PYZ1364" s="76"/>
      <c r="PZA1364" s="76"/>
      <c r="PZB1364" s="76"/>
      <c r="PZC1364" s="76"/>
      <c r="PZD1364" s="76"/>
      <c r="PZE1364" s="76"/>
      <c r="PZF1364" s="76"/>
      <c r="PZG1364" s="76"/>
      <c r="PZH1364" s="76"/>
      <c r="PZI1364" s="76"/>
      <c r="PZJ1364" s="76"/>
      <c r="PZK1364" s="76"/>
      <c r="PZL1364" s="76"/>
      <c r="PZM1364" s="76"/>
      <c r="PZN1364" s="76"/>
      <c r="PZO1364" s="76"/>
      <c r="PZP1364" s="76"/>
      <c r="PZQ1364" s="76"/>
      <c r="PZR1364" s="76"/>
      <c r="PZS1364" s="76"/>
      <c r="PZT1364" s="76"/>
      <c r="PZU1364" s="76"/>
      <c r="PZV1364" s="76"/>
      <c r="PZW1364" s="76"/>
      <c r="PZX1364" s="76"/>
      <c r="PZY1364" s="76"/>
      <c r="PZZ1364" s="76"/>
      <c r="QAA1364" s="76"/>
      <c r="QAB1364" s="76"/>
      <c r="QAC1364" s="76"/>
      <c r="QAD1364" s="76"/>
      <c r="QAE1364" s="76"/>
      <c r="QAF1364" s="76"/>
      <c r="QAG1364" s="50"/>
      <c r="QAH1364" s="76"/>
      <c r="QAI1364" s="76"/>
      <c r="QAJ1364" s="76"/>
      <c r="QAK1364" s="76"/>
      <c r="QAL1364" s="76"/>
      <c r="QAM1364" s="76"/>
      <c r="QAN1364" s="76"/>
      <c r="QAO1364" s="76"/>
      <c r="QAP1364" s="76"/>
      <c r="QAQ1364" s="76"/>
      <c r="QAR1364" s="76"/>
      <c r="QAS1364" s="76"/>
      <c r="QAT1364" s="76"/>
      <c r="QAU1364" s="76"/>
      <c r="QAV1364" s="76"/>
      <c r="QAW1364" s="76"/>
      <c r="QAX1364" s="76"/>
      <c r="QAY1364" s="76"/>
      <c r="QAZ1364" s="76"/>
      <c r="QBA1364" s="76"/>
      <c r="QBB1364" s="76"/>
      <c r="QBC1364" s="76"/>
      <c r="QBD1364" s="76"/>
      <c r="QBE1364" s="76"/>
      <c r="QBF1364" s="76"/>
      <c r="QBG1364" s="76"/>
      <c r="QBH1364" s="76"/>
      <c r="QBI1364" s="76"/>
      <c r="QBJ1364" s="76"/>
      <c r="QBK1364" s="76"/>
      <c r="QBL1364" s="76"/>
      <c r="QBM1364" s="76"/>
      <c r="QBN1364" s="76"/>
      <c r="QBO1364" s="76"/>
      <c r="QBP1364" s="76"/>
      <c r="QBQ1364" s="76"/>
      <c r="QBR1364" s="76"/>
      <c r="QBS1364" s="76"/>
      <c r="QBT1364" s="76"/>
      <c r="QBU1364" s="76"/>
      <c r="QBV1364" s="76"/>
      <c r="QBW1364" s="76"/>
      <c r="QBX1364" s="76"/>
      <c r="QBY1364" s="76"/>
      <c r="QBZ1364" s="76"/>
      <c r="QCA1364" s="76"/>
      <c r="QCB1364" s="76"/>
      <c r="QCC1364" s="76"/>
      <c r="QCD1364" s="76"/>
      <c r="QCE1364" s="76"/>
      <c r="QCF1364" s="76"/>
      <c r="QCG1364" s="76"/>
      <c r="QCH1364" s="76"/>
      <c r="QCI1364" s="76"/>
      <c r="QCJ1364" s="76"/>
      <c r="QCK1364" s="76"/>
      <c r="QCL1364" s="76"/>
      <c r="QCM1364" s="76"/>
      <c r="QCN1364" s="76"/>
      <c r="QCO1364" s="76"/>
      <c r="QCP1364" s="76"/>
      <c r="QCQ1364" s="76"/>
      <c r="QCR1364" s="76"/>
      <c r="QCS1364" s="76"/>
      <c r="QCT1364" s="76"/>
      <c r="QCU1364" s="76"/>
      <c r="QCV1364" s="76"/>
      <c r="QCW1364" s="76"/>
      <c r="QCX1364" s="76"/>
      <c r="QCY1364" s="76"/>
      <c r="QCZ1364" s="76"/>
      <c r="QDA1364" s="76"/>
      <c r="QDB1364" s="76"/>
      <c r="QDC1364" s="76"/>
      <c r="QDD1364" s="76"/>
      <c r="QDE1364" s="76"/>
      <c r="QDF1364" s="76"/>
      <c r="QDG1364" s="76"/>
      <c r="QDH1364" s="76"/>
      <c r="QDI1364" s="76"/>
      <c r="QDJ1364" s="76"/>
      <c r="QDK1364" s="76"/>
      <c r="QDL1364" s="76"/>
      <c r="QDM1364" s="76"/>
      <c r="QDN1364" s="76"/>
      <c r="QDO1364" s="76"/>
      <c r="QDP1364" s="76"/>
      <c r="QDQ1364" s="76"/>
      <c r="QDR1364" s="76"/>
      <c r="QDS1364" s="76"/>
      <c r="QDT1364" s="76"/>
      <c r="QDU1364" s="76"/>
      <c r="QDV1364" s="76"/>
      <c r="QDW1364" s="76"/>
      <c r="QDX1364" s="76"/>
      <c r="QDY1364" s="76"/>
      <c r="QDZ1364" s="76"/>
      <c r="QEA1364" s="76"/>
      <c r="QEB1364" s="76"/>
      <c r="QEC1364" s="76"/>
      <c r="QED1364" s="76"/>
      <c r="QEE1364" s="76"/>
      <c r="QEF1364" s="76"/>
      <c r="QEG1364" s="76"/>
      <c r="QEH1364" s="76"/>
      <c r="QEI1364" s="76"/>
      <c r="QEJ1364" s="76"/>
      <c r="QEK1364" s="76"/>
      <c r="QEL1364" s="76"/>
      <c r="QEM1364" s="76"/>
      <c r="QEN1364" s="76"/>
      <c r="QEO1364" s="76"/>
      <c r="QEP1364" s="76"/>
      <c r="QEQ1364" s="76"/>
      <c r="QER1364" s="76"/>
      <c r="QES1364" s="76"/>
      <c r="QET1364" s="76"/>
      <c r="QEU1364" s="76"/>
      <c r="QEV1364" s="76"/>
      <c r="QEW1364" s="76"/>
      <c r="QEX1364" s="76"/>
      <c r="QEY1364" s="76"/>
      <c r="QEZ1364" s="76"/>
      <c r="QFA1364" s="76"/>
      <c r="QFB1364" s="76"/>
      <c r="QFC1364" s="76"/>
      <c r="QFD1364" s="76"/>
      <c r="QFE1364" s="76"/>
      <c r="QFF1364" s="76"/>
      <c r="QFG1364" s="76"/>
      <c r="QFH1364" s="76"/>
      <c r="QFI1364" s="76"/>
      <c r="QFJ1364" s="76"/>
      <c r="QFK1364" s="76"/>
      <c r="QFL1364" s="76"/>
      <c r="QFM1364" s="76"/>
      <c r="QFN1364" s="76"/>
      <c r="QFO1364" s="76"/>
      <c r="QFP1364" s="76"/>
      <c r="QFQ1364" s="76"/>
      <c r="QFR1364" s="76"/>
      <c r="QFS1364" s="76"/>
      <c r="QFT1364" s="76"/>
      <c r="QFU1364" s="76"/>
      <c r="QFV1364" s="76"/>
      <c r="QFW1364" s="76"/>
      <c r="QFX1364" s="76"/>
      <c r="QFY1364" s="76"/>
      <c r="QFZ1364" s="76"/>
      <c r="QGA1364" s="76"/>
      <c r="QGB1364" s="76"/>
      <c r="QGC1364" s="76"/>
      <c r="QGD1364" s="76"/>
      <c r="QGE1364" s="76"/>
      <c r="QGF1364" s="76"/>
      <c r="QGG1364" s="76"/>
      <c r="QGH1364" s="76"/>
      <c r="QGI1364" s="76"/>
      <c r="QGJ1364" s="76"/>
      <c r="QGK1364" s="76"/>
      <c r="QGL1364" s="76"/>
      <c r="QGM1364" s="76"/>
      <c r="QGN1364" s="76"/>
      <c r="QGO1364" s="76"/>
      <c r="QGP1364" s="76"/>
      <c r="QGQ1364" s="76"/>
      <c r="QGR1364" s="76"/>
      <c r="QGS1364" s="76"/>
      <c r="QGT1364" s="76"/>
      <c r="QGU1364" s="76"/>
      <c r="QGV1364" s="76"/>
      <c r="QGW1364" s="76"/>
      <c r="QGX1364" s="76"/>
      <c r="QGY1364" s="76"/>
      <c r="QGZ1364" s="76"/>
      <c r="QHA1364" s="76"/>
      <c r="QHB1364" s="76"/>
      <c r="QHC1364" s="76"/>
      <c r="QHD1364" s="76"/>
      <c r="QHE1364" s="76"/>
      <c r="QHF1364" s="76"/>
      <c r="QHG1364" s="76"/>
      <c r="QHH1364" s="76"/>
      <c r="QHI1364" s="76"/>
      <c r="QHJ1364" s="76"/>
      <c r="QHK1364" s="76"/>
      <c r="QHL1364" s="76"/>
      <c r="QHM1364" s="76"/>
      <c r="QHN1364" s="76"/>
      <c r="QHO1364" s="76"/>
      <c r="QHP1364" s="76"/>
      <c r="QHQ1364" s="76"/>
      <c r="QHR1364" s="76"/>
      <c r="QHS1364" s="76"/>
      <c r="QHT1364" s="76"/>
      <c r="QHU1364" s="76"/>
      <c r="QHV1364" s="76"/>
      <c r="QHW1364" s="76"/>
      <c r="QHX1364" s="76"/>
      <c r="QHY1364" s="76"/>
      <c r="QHZ1364" s="76"/>
      <c r="QIA1364" s="76"/>
      <c r="QIB1364" s="76"/>
      <c r="QIC1364" s="76"/>
      <c r="QID1364" s="76"/>
      <c r="QIE1364" s="76"/>
      <c r="QIF1364" s="76"/>
      <c r="QIG1364" s="76"/>
      <c r="QIH1364" s="76"/>
      <c r="QII1364" s="76"/>
      <c r="QIJ1364" s="76"/>
      <c r="QIK1364" s="76"/>
      <c r="QIL1364" s="76"/>
      <c r="QIM1364" s="76"/>
      <c r="QIN1364" s="76"/>
      <c r="QIO1364" s="76"/>
      <c r="QIP1364" s="76"/>
      <c r="QIQ1364" s="76"/>
      <c r="QIR1364" s="76"/>
      <c r="QIS1364" s="76"/>
      <c r="QIT1364" s="76"/>
      <c r="QIU1364" s="76"/>
      <c r="QIV1364" s="76"/>
      <c r="QIW1364" s="76"/>
      <c r="QIX1364" s="76"/>
      <c r="QIY1364" s="76"/>
      <c r="QIZ1364" s="76"/>
      <c r="QJA1364" s="76"/>
      <c r="QJB1364" s="76"/>
      <c r="QJC1364" s="76"/>
      <c r="QJD1364" s="76"/>
      <c r="QJE1364" s="76"/>
      <c r="QJF1364" s="76"/>
      <c r="QJG1364" s="76"/>
      <c r="QJH1364" s="76"/>
      <c r="QJI1364" s="76"/>
      <c r="QJJ1364" s="76"/>
      <c r="QJK1364" s="76"/>
      <c r="QJL1364" s="76"/>
      <c r="QJM1364" s="76"/>
      <c r="QJN1364" s="76"/>
      <c r="QJO1364" s="76"/>
      <c r="QJP1364" s="76"/>
      <c r="QJQ1364" s="76"/>
      <c r="QJR1364" s="76"/>
      <c r="QJS1364" s="76"/>
      <c r="QJT1364" s="76"/>
      <c r="QJU1364" s="76"/>
      <c r="QJV1364" s="76"/>
      <c r="QJW1364" s="76"/>
      <c r="QJX1364" s="76"/>
      <c r="QJY1364" s="76"/>
      <c r="QJZ1364" s="76"/>
      <c r="QKA1364" s="76"/>
      <c r="QKB1364" s="76"/>
      <c r="QKC1364" s="50"/>
      <c r="QKD1364" s="76"/>
      <c r="QKE1364" s="76"/>
      <c r="QKF1364" s="76"/>
      <c r="QKG1364" s="76"/>
      <c r="QKH1364" s="76"/>
      <c r="QKI1364" s="76"/>
      <c r="QKJ1364" s="76"/>
      <c r="QKK1364" s="76"/>
      <c r="QKL1364" s="76"/>
      <c r="QKM1364" s="76"/>
      <c r="QKN1364" s="76"/>
      <c r="QKO1364" s="76"/>
      <c r="QKP1364" s="76"/>
      <c r="QKQ1364" s="76"/>
      <c r="QKR1364" s="76"/>
      <c r="QKS1364" s="76"/>
      <c r="QKT1364" s="76"/>
      <c r="QKU1364" s="76"/>
      <c r="QKV1364" s="76"/>
      <c r="QKW1364" s="76"/>
      <c r="QKX1364" s="76"/>
      <c r="QKY1364" s="76"/>
      <c r="QKZ1364" s="76"/>
      <c r="QLA1364" s="76"/>
      <c r="QLB1364" s="76"/>
      <c r="QLC1364" s="76"/>
      <c r="QLD1364" s="76"/>
      <c r="QLE1364" s="76"/>
      <c r="QLF1364" s="76"/>
      <c r="QLG1364" s="76"/>
      <c r="QLH1364" s="76"/>
      <c r="QLI1364" s="76"/>
      <c r="QLJ1364" s="76"/>
      <c r="QLK1364" s="76"/>
      <c r="QLL1364" s="76"/>
      <c r="QLM1364" s="76"/>
      <c r="QLN1364" s="76"/>
      <c r="QLO1364" s="76"/>
      <c r="QLP1364" s="76"/>
      <c r="QLQ1364" s="76"/>
      <c r="QLR1364" s="76"/>
      <c r="QLS1364" s="76"/>
      <c r="QLT1364" s="76"/>
      <c r="QLU1364" s="76"/>
      <c r="QLV1364" s="76"/>
      <c r="QLW1364" s="76"/>
      <c r="QLX1364" s="76"/>
      <c r="QLY1364" s="76"/>
      <c r="QLZ1364" s="76"/>
      <c r="QMA1364" s="76"/>
      <c r="QMB1364" s="76"/>
      <c r="QMC1364" s="76"/>
      <c r="QMD1364" s="76"/>
      <c r="QME1364" s="76"/>
      <c r="QMF1364" s="76"/>
      <c r="QMG1364" s="76"/>
      <c r="QMH1364" s="76"/>
      <c r="QMI1364" s="76"/>
      <c r="QMJ1364" s="76"/>
      <c r="QMK1364" s="76"/>
      <c r="QML1364" s="76"/>
      <c r="QMM1364" s="76"/>
      <c r="QMN1364" s="76"/>
      <c r="QMO1364" s="76"/>
      <c r="QMP1364" s="76"/>
      <c r="QMQ1364" s="76"/>
      <c r="QMR1364" s="76"/>
      <c r="QMS1364" s="76"/>
      <c r="QMT1364" s="76"/>
      <c r="QMU1364" s="76"/>
      <c r="QMV1364" s="76"/>
      <c r="QMW1364" s="76"/>
      <c r="QMX1364" s="76"/>
      <c r="QMY1364" s="76"/>
      <c r="QMZ1364" s="76"/>
      <c r="QNA1364" s="76"/>
      <c r="QNB1364" s="76"/>
      <c r="QNC1364" s="76"/>
      <c r="QND1364" s="76"/>
      <c r="QNE1364" s="76"/>
      <c r="QNF1364" s="76"/>
      <c r="QNG1364" s="76"/>
      <c r="QNH1364" s="76"/>
      <c r="QNI1364" s="76"/>
      <c r="QNJ1364" s="76"/>
      <c r="QNK1364" s="76"/>
      <c r="QNL1364" s="76"/>
      <c r="QNM1364" s="76"/>
      <c r="QNN1364" s="76"/>
      <c r="QNO1364" s="76"/>
      <c r="QNP1364" s="76"/>
      <c r="QNQ1364" s="76"/>
      <c r="QNR1364" s="76"/>
      <c r="QNS1364" s="76"/>
      <c r="QNT1364" s="76"/>
      <c r="QNU1364" s="76"/>
      <c r="QNV1364" s="76"/>
      <c r="QNW1364" s="76"/>
      <c r="QNX1364" s="76"/>
      <c r="QNY1364" s="76"/>
      <c r="QNZ1364" s="76"/>
      <c r="QOA1364" s="76"/>
      <c r="QOB1364" s="76"/>
      <c r="QOC1364" s="76"/>
      <c r="QOD1364" s="76"/>
      <c r="QOE1364" s="76"/>
      <c r="QOF1364" s="76"/>
      <c r="QOG1364" s="76"/>
      <c r="QOH1364" s="76"/>
      <c r="QOI1364" s="76"/>
      <c r="QOJ1364" s="76"/>
      <c r="QOK1364" s="76"/>
      <c r="QOL1364" s="76"/>
      <c r="QOM1364" s="76"/>
      <c r="QON1364" s="76"/>
      <c r="QOO1364" s="76"/>
      <c r="QOP1364" s="76"/>
      <c r="QOQ1364" s="76"/>
      <c r="QOR1364" s="76"/>
      <c r="QOS1364" s="76"/>
      <c r="QOT1364" s="76"/>
      <c r="QOU1364" s="76"/>
      <c r="QOV1364" s="76"/>
      <c r="QOW1364" s="76"/>
      <c r="QOX1364" s="76"/>
      <c r="QOY1364" s="76"/>
      <c r="QOZ1364" s="76"/>
      <c r="QPA1364" s="76"/>
      <c r="QPB1364" s="76"/>
      <c r="QPC1364" s="76"/>
      <c r="QPD1364" s="76"/>
      <c r="QPE1364" s="76"/>
      <c r="QPF1364" s="76"/>
      <c r="QPG1364" s="76"/>
      <c r="QPH1364" s="76"/>
      <c r="QPI1364" s="76"/>
      <c r="QPJ1364" s="76"/>
      <c r="QPK1364" s="76"/>
      <c r="QPL1364" s="76"/>
      <c r="QPM1364" s="76"/>
      <c r="QPN1364" s="76"/>
      <c r="QPO1364" s="76"/>
      <c r="QPP1364" s="76"/>
      <c r="QPQ1364" s="76"/>
      <c r="QPR1364" s="76"/>
      <c r="QPS1364" s="76"/>
      <c r="QPT1364" s="76"/>
      <c r="QPU1364" s="76"/>
      <c r="QPV1364" s="76"/>
      <c r="QPW1364" s="76"/>
      <c r="QPX1364" s="76"/>
      <c r="QPY1364" s="76"/>
      <c r="QPZ1364" s="76"/>
      <c r="QQA1364" s="76"/>
      <c r="QQB1364" s="76"/>
      <c r="QQC1364" s="76"/>
      <c r="QQD1364" s="76"/>
      <c r="QQE1364" s="76"/>
      <c r="QQF1364" s="76"/>
      <c r="QQG1364" s="76"/>
      <c r="QQH1364" s="76"/>
      <c r="QQI1364" s="76"/>
      <c r="QQJ1364" s="76"/>
      <c r="QQK1364" s="76"/>
      <c r="QQL1364" s="76"/>
      <c r="QQM1364" s="76"/>
      <c r="QQN1364" s="76"/>
      <c r="QQO1364" s="76"/>
      <c r="QQP1364" s="76"/>
      <c r="QQQ1364" s="76"/>
      <c r="QQR1364" s="76"/>
      <c r="QQS1364" s="76"/>
      <c r="QQT1364" s="76"/>
      <c r="QQU1364" s="76"/>
      <c r="QQV1364" s="76"/>
      <c r="QQW1364" s="76"/>
      <c r="QQX1364" s="76"/>
      <c r="QQY1364" s="76"/>
      <c r="QQZ1364" s="76"/>
      <c r="QRA1364" s="76"/>
      <c r="QRB1364" s="76"/>
      <c r="QRC1364" s="76"/>
      <c r="QRD1364" s="76"/>
      <c r="QRE1364" s="76"/>
      <c r="QRF1364" s="76"/>
      <c r="QRG1364" s="76"/>
      <c r="QRH1364" s="76"/>
      <c r="QRI1364" s="76"/>
      <c r="QRJ1364" s="76"/>
      <c r="QRK1364" s="76"/>
      <c r="QRL1364" s="76"/>
      <c r="QRM1364" s="76"/>
      <c r="QRN1364" s="76"/>
      <c r="QRO1364" s="76"/>
      <c r="QRP1364" s="76"/>
      <c r="QRQ1364" s="76"/>
      <c r="QRR1364" s="76"/>
      <c r="QRS1364" s="76"/>
      <c r="QRT1364" s="76"/>
      <c r="QRU1364" s="76"/>
      <c r="QRV1364" s="76"/>
      <c r="QRW1364" s="76"/>
      <c r="QRX1364" s="76"/>
      <c r="QRY1364" s="76"/>
      <c r="QRZ1364" s="76"/>
      <c r="QSA1364" s="76"/>
      <c r="QSB1364" s="76"/>
      <c r="QSC1364" s="76"/>
      <c r="QSD1364" s="76"/>
      <c r="QSE1364" s="76"/>
      <c r="QSF1364" s="76"/>
      <c r="QSG1364" s="76"/>
      <c r="QSH1364" s="76"/>
      <c r="QSI1364" s="76"/>
      <c r="QSJ1364" s="76"/>
      <c r="QSK1364" s="76"/>
      <c r="QSL1364" s="76"/>
      <c r="QSM1364" s="76"/>
      <c r="QSN1364" s="76"/>
      <c r="QSO1364" s="76"/>
      <c r="QSP1364" s="76"/>
      <c r="QSQ1364" s="76"/>
      <c r="QSR1364" s="76"/>
      <c r="QSS1364" s="76"/>
      <c r="QST1364" s="76"/>
      <c r="QSU1364" s="76"/>
      <c r="QSV1364" s="76"/>
      <c r="QSW1364" s="76"/>
      <c r="QSX1364" s="76"/>
      <c r="QSY1364" s="76"/>
      <c r="QSZ1364" s="76"/>
      <c r="QTA1364" s="76"/>
      <c r="QTB1364" s="76"/>
      <c r="QTC1364" s="76"/>
      <c r="QTD1364" s="76"/>
      <c r="QTE1364" s="76"/>
      <c r="QTF1364" s="76"/>
      <c r="QTG1364" s="76"/>
      <c r="QTH1364" s="76"/>
      <c r="QTI1364" s="76"/>
      <c r="QTJ1364" s="76"/>
      <c r="QTK1364" s="76"/>
      <c r="QTL1364" s="76"/>
      <c r="QTM1364" s="76"/>
      <c r="QTN1364" s="76"/>
      <c r="QTO1364" s="76"/>
      <c r="QTP1364" s="76"/>
      <c r="QTQ1364" s="76"/>
      <c r="QTR1364" s="76"/>
      <c r="QTS1364" s="76"/>
      <c r="QTT1364" s="76"/>
      <c r="QTU1364" s="76"/>
      <c r="QTV1364" s="76"/>
      <c r="QTW1364" s="76"/>
      <c r="QTX1364" s="76"/>
      <c r="QTY1364" s="50"/>
      <c r="QTZ1364" s="76"/>
      <c r="QUA1364" s="76"/>
      <c r="QUB1364" s="76"/>
      <c r="QUC1364" s="76"/>
      <c r="QUD1364" s="76"/>
      <c r="QUE1364" s="76"/>
      <c r="QUF1364" s="76"/>
      <c r="QUG1364" s="76"/>
      <c r="QUH1364" s="76"/>
      <c r="QUI1364" s="76"/>
      <c r="QUJ1364" s="76"/>
      <c r="QUK1364" s="76"/>
      <c r="QUL1364" s="76"/>
      <c r="QUM1364" s="76"/>
      <c r="QUN1364" s="76"/>
      <c r="QUO1364" s="76"/>
      <c r="QUP1364" s="76"/>
      <c r="QUQ1364" s="76"/>
      <c r="QUR1364" s="76"/>
      <c r="QUS1364" s="76"/>
      <c r="QUT1364" s="76"/>
      <c r="QUU1364" s="76"/>
      <c r="QUV1364" s="76"/>
      <c r="QUW1364" s="76"/>
      <c r="QUX1364" s="76"/>
      <c r="QUY1364" s="76"/>
      <c r="QUZ1364" s="76"/>
      <c r="QVA1364" s="76"/>
      <c r="QVB1364" s="76"/>
      <c r="QVC1364" s="76"/>
      <c r="QVD1364" s="76"/>
      <c r="QVE1364" s="76"/>
      <c r="QVF1364" s="76"/>
      <c r="QVG1364" s="76"/>
      <c r="QVH1364" s="76"/>
      <c r="QVI1364" s="76"/>
      <c r="QVJ1364" s="76"/>
      <c r="QVK1364" s="76"/>
      <c r="QVL1364" s="76"/>
      <c r="QVM1364" s="76"/>
      <c r="QVN1364" s="76"/>
      <c r="QVO1364" s="76"/>
      <c r="QVP1364" s="76"/>
      <c r="QVQ1364" s="76"/>
      <c r="QVR1364" s="76"/>
      <c r="QVS1364" s="76"/>
      <c r="QVT1364" s="76"/>
      <c r="QVU1364" s="76"/>
      <c r="QVV1364" s="76"/>
      <c r="QVW1364" s="76"/>
      <c r="QVX1364" s="76"/>
      <c r="QVY1364" s="76"/>
      <c r="QVZ1364" s="76"/>
      <c r="QWA1364" s="76"/>
      <c r="QWB1364" s="76"/>
      <c r="QWC1364" s="76"/>
      <c r="QWD1364" s="76"/>
      <c r="QWE1364" s="76"/>
      <c r="QWF1364" s="76"/>
      <c r="QWG1364" s="76"/>
      <c r="QWH1364" s="76"/>
      <c r="QWI1364" s="76"/>
      <c r="QWJ1364" s="76"/>
      <c r="QWK1364" s="76"/>
      <c r="QWL1364" s="76"/>
      <c r="QWM1364" s="76"/>
      <c r="QWN1364" s="76"/>
      <c r="QWO1364" s="76"/>
      <c r="QWP1364" s="76"/>
      <c r="QWQ1364" s="76"/>
      <c r="QWR1364" s="76"/>
      <c r="QWS1364" s="76"/>
      <c r="QWT1364" s="76"/>
      <c r="QWU1364" s="76"/>
      <c r="QWV1364" s="76"/>
      <c r="QWW1364" s="76"/>
      <c r="QWX1364" s="76"/>
      <c r="QWY1364" s="76"/>
      <c r="QWZ1364" s="76"/>
      <c r="QXA1364" s="76"/>
      <c r="QXB1364" s="76"/>
      <c r="QXC1364" s="76"/>
      <c r="QXD1364" s="76"/>
      <c r="QXE1364" s="76"/>
      <c r="QXF1364" s="76"/>
      <c r="QXG1364" s="76"/>
      <c r="QXH1364" s="76"/>
      <c r="QXI1364" s="76"/>
      <c r="QXJ1364" s="76"/>
      <c r="QXK1364" s="76"/>
      <c r="QXL1364" s="76"/>
      <c r="QXM1364" s="76"/>
      <c r="QXN1364" s="76"/>
      <c r="QXO1364" s="76"/>
      <c r="QXP1364" s="76"/>
      <c r="QXQ1364" s="76"/>
      <c r="QXR1364" s="76"/>
      <c r="QXS1364" s="76"/>
      <c r="QXT1364" s="76"/>
      <c r="QXU1364" s="76"/>
      <c r="QXV1364" s="76"/>
      <c r="QXW1364" s="76"/>
      <c r="QXX1364" s="76"/>
      <c r="QXY1364" s="76"/>
      <c r="QXZ1364" s="76"/>
      <c r="QYA1364" s="76"/>
      <c r="QYB1364" s="76"/>
      <c r="QYC1364" s="76"/>
      <c r="QYD1364" s="76"/>
      <c r="QYE1364" s="76"/>
      <c r="QYF1364" s="76"/>
      <c r="QYG1364" s="76"/>
      <c r="QYH1364" s="76"/>
      <c r="QYI1364" s="76"/>
      <c r="QYJ1364" s="76"/>
      <c r="QYK1364" s="76"/>
      <c r="QYL1364" s="76"/>
      <c r="QYM1364" s="76"/>
      <c r="QYN1364" s="76"/>
      <c r="QYO1364" s="76"/>
      <c r="QYP1364" s="76"/>
      <c r="QYQ1364" s="76"/>
      <c r="QYR1364" s="76"/>
      <c r="QYS1364" s="76"/>
      <c r="QYT1364" s="76"/>
      <c r="QYU1364" s="76"/>
      <c r="QYV1364" s="76"/>
      <c r="QYW1364" s="76"/>
      <c r="QYX1364" s="76"/>
      <c r="QYY1364" s="76"/>
      <c r="QYZ1364" s="76"/>
      <c r="QZA1364" s="76"/>
      <c r="QZB1364" s="76"/>
      <c r="QZC1364" s="76"/>
      <c r="QZD1364" s="76"/>
      <c r="QZE1364" s="76"/>
      <c r="QZF1364" s="76"/>
      <c r="QZG1364" s="76"/>
      <c r="QZH1364" s="76"/>
      <c r="QZI1364" s="76"/>
      <c r="QZJ1364" s="76"/>
      <c r="QZK1364" s="76"/>
      <c r="QZL1364" s="76"/>
      <c r="QZM1364" s="76"/>
      <c r="QZN1364" s="76"/>
      <c r="QZO1364" s="76"/>
      <c r="QZP1364" s="76"/>
      <c r="QZQ1364" s="76"/>
      <c r="QZR1364" s="76"/>
      <c r="QZS1364" s="76"/>
      <c r="QZT1364" s="76"/>
      <c r="QZU1364" s="76"/>
      <c r="QZV1364" s="76"/>
      <c r="QZW1364" s="76"/>
      <c r="QZX1364" s="76"/>
      <c r="QZY1364" s="76"/>
      <c r="QZZ1364" s="76"/>
      <c r="RAA1364" s="76"/>
      <c r="RAB1364" s="76"/>
      <c r="RAC1364" s="76"/>
      <c r="RAD1364" s="76"/>
      <c r="RAE1364" s="76"/>
      <c r="RAF1364" s="76"/>
      <c r="RAG1364" s="76"/>
      <c r="RAH1364" s="76"/>
      <c r="RAI1364" s="76"/>
      <c r="RAJ1364" s="76"/>
      <c r="RAK1364" s="76"/>
      <c r="RAL1364" s="76"/>
      <c r="RAM1364" s="76"/>
      <c r="RAN1364" s="76"/>
      <c r="RAO1364" s="76"/>
      <c r="RAP1364" s="76"/>
      <c r="RAQ1364" s="76"/>
      <c r="RAR1364" s="76"/>
      <c r="RAS1364" s="76"/>
      <c r="RAT1364" s="76"/>
      <c r="RAU1364" s="76"/>
      <c r="RAV1364" s="76"/>
      <c r="RAW1364" s="76"/>
      <c r="RAX1364" s="76"/>
      <c r="RAY1364" s="76"/>
      <c r="RAZ1364" s="76"/>
      <c r="RBA1364" s="76"/>
      <c r="RBB1364" s="76"/>
      <c r="RBC1364" s="76"/>
      <c r="RBD1364" s="76"/>
      <c r="RBE1364" s="76"/>
      <c r="RBF1364" s="76"/>
      <c r="RBG1364" s="76"/>
      <c r="RBH1364" s="76"/>
      <c r="RBI1364" s="76"/>
      <c r="RBJ1364" s="76"/>
      <c r="RBK1364" s="76"/>
      <c r="RBL1364" s="76"/>
      <c r="RBM1364" s="76"/>
      <c r="RBN1364" s="76"/>
      <c r="RBO1364" s="76"/>
      <c r="RBP1364" s="76"/>
      <c r="RBQ1364" s="76"/>
      <c r="RBR1364" s="76"/>
      <c r="RBS1364" s="76"/>
      <c r="RBT1364" s="76"/>
      <c r="RBU1364" s="76"/>
      <c r="RBV1364" s="76"/>
      <c r="RBW1364" s="76"/>
      <c r="RBX1364" s="76"/>
      <c r="RBY1364" s="76"/>
      <c r="RBZ1364" s="76"/>
      <c r="RCA1364" s="76"/>
      <c r="RCB1364" s="76"/>
      <c r="RCC1364" s="76"/>
      <c r="RCD1364" s="76"/>
      <c r="RCE1364" s="76"/>
      <c r="RCF1364" s="76"/>
      <c r="RCG1364" s="76"/>
      <c r="RCH1364" s="76"/>
      <c r="RCI1364" s="76"/>
      <c r="RCJ1364" s="76"/>
      <c r="RCK1364" s="76"/>
      <c r="RCL1364" s="76"/>
      <c r="RCM1364" s="76"/>
      <c r="RCN1364" s="76"/>
      <c r="RCO1364" s="76"/>
      <c r="RCP1364" s="76"/>
      <c r="RCQ1364" s="76"/>
      <c r="RCR1364" s="76"/>
      <c r="RCS1364" s="76"/>
      <c r="RCT1364" s="76"/>
      <c r="RCU1364" s="76"/>
      <c r="RCV1364" s="76"/>
      <c r="RCW1364" s="76"/>
      <c r="RCX1364" s="76"/>
      <c r="RCY1364" s="76"/>
      <c r="RCZ1364" s="76"/>
      <c r="RDA1364" s="76"/>
      <c r="RDB1364" s="76"/>
      <c r="RDC1364" s="76"/>
      <c r="RDD1364" s="76"/>
      <c r="RDE1364" s="76"/>
      <c r="RDF1364" s="76"/>
      <c r="RDG1364" s="76"/>
      <c r="RDH1364" s="76"/>
      <c r="RDI1364" s="76"/>
      <c r="RDJ1364" s="76"/>
      <c r="RDK1364" s="76"/>
      <c r="RDL1364" s="76"/>
      <c r="RDM1364" s="76"/>
      <c r="RDN1364" s="76"/>
      <c r="RDO1364" s="76"/>
      <c r="RDP1364" s="76"/>
      <c r="RDQ1364" s="76"/>
      <c r="RDR1364" s="76"/>
      <c r="RDS1364" s="76"/>
      <c r="RDT1364" s="76"/>
      <c r="RDU1364" s="50"/>
      <c r="RDV1364" s="76"/>
      <c r="RDW1364" s="76"/>
      <c r="RDX1364" s="76"/>
      <c r="RDY1364" s="76"/>
      <c r="RDZ1364" s="76"/>
      <c r="REA1364" s="76"/>
      <c r="REB1364" s="76"/>
      <c r="REC1364" s="76"/>
      <c r="RED1364" s="76"/>
      <c r="REE1364" s="76"/>
      <c r="REF1364" s="76"/>
      <c r="REG1364" s="76"/>
      <c r="REH1364" s="76"/>
      <c r="REI1364" s="76"/>
      <c r="REJ1364" s="76"/>
      <c r="REK1364" s="76"/>
      <c r="REL1364" s="76"/>
      <c r="REM1364" s="76"/>
      <c r="REN1364" s="76"/>
      <c r="REO1364" s="76"/>
      <c r="REP1364" s="76"/>
      <c r="REQ1364" s="76"/>
      <c r="RER1364" s="76"/>
      <c r="RES1364" s="76"/>
      <c r="RET1364" s="76"/>
      <c r="REU1364" s="76"/>
      <c r="REV1364" s="76"/>
      <c r="REW1364" s="76"/>
      <c r="REX1364" s="76"/>
      <c r="REY1364" s="76"/>
      <c r="REZ1364" s="76"/>
      <c r="RFA1364" s="76"/>
      <c r="RFB1364" s="76"/>
      <c r="RFC1364" s="76"/>
      <c r="RFD1364" s="76"/>
      <c r="RFE1364" s="76"/>
      <c r="RFF1364" s="76"/>
      <c r="RFG1364" s="76"/>
      <c r="RFH1364" s="76"/>
      <c r="RFI1364" s="76"/>
      <c r="RFJ1364" s="76"/>
      <c r="RFK1364" s="76"/>
      <c r="RFL1364" s="76"/>
      <c r="RFM1364" s="76"/>
      <c r="RFN1364" s="76"/>
      <c r="RFO1364" s="76"/>
      <c r="RFP1364" s="76"/>
      <c r="RFQ1364" s="76"/>
      <c r="RFR1364" s="76"/>
      <c r="RFS1364" s="76"/>
      <c r="RFT1364" s="76"/>
      <c r="RFU1364" s="76"/>
      <c r="RFV1364" s="76"/>
      <c r="RFW1364" s="76"/>
      <c r="RFX1364" s="76"/>
      <c r="RFY1364" s="76"/>
      <c r="RFZ1364" s="76"/>
      <c r="RGA1364" s="76"/>
      <c r="RGB1364" s="76"/>
      <c r="RGC1364" s="76"/>
      <c r="RGD1364" s="76"/>
      <c r="RGE1364" s="76"/>
      <c r="RGF1364" s="76"/>
      <c r="RGG1364" s="76"/>
      <c r="RGH1364" s="76"/>
      <c r="RGI1364" s="76"/>
      <c r="RGJ1364" s="76"/>
      <c r="RGK1364" s="76"/>
      <c r="RGL1364" s="76"/>
      <c r="RGM1364" s="76"/>
      <c r="RGN1364" s="76"/>
      <c r="RGO1364" s="76"/>
      <c r="RGP1364" s="76"/>
      <c r="RGQ1364" s="76"/>
      <c r="RGR1364" s="76"/>
      <c r="RGS1364" s="76"/>
      <c r="RGT1364" s="76"/>
      <c r="RGU1364" s="76"/>
      <c r="RGV1364" s="76"/>
      <c r="RGW1364" s="76"/>
      <c r="RGX1364" s="76"/>
      <c r="RGY1364" s="76"/>
      <c r="RGZ1364" s="76"/>
      <c r="RHA1364" s="76"/>
      <c r="RHB1364" s="76"/>
      <c r="RHC1364" s="76"/>
      <c r="RHD1364" s="76"/>
      <c r="RHE1364" s="76"/>
      <c r="RHF1364" s="76"/>
      <c r="RHG1364" s="76"/>
      <c r="RHH1364" s="76"/>
      <c r="RHI1364" s="76"/>
      <c r="RHJ1364" s="76"/>
      <c r="RHK1364" s="76"/>
      <c r="RHL1364" s="76"/>
      <c r="RHM1364" s="76"/>
      <c r="RHN1364" s="76"/>
      <c r="RHO1364" s="76"/>
      <c r="RHP1364" s="76"/>
      <c r="RHQ1364" s="76"/>
      <c r="RHR1364" s="76"/>
      <c r="RHS1364" s="76"/>
      <c r="RHT1364" s="76"/>
      <c r="RHU1364" s="76"/>
      <c r="RHV1364" s="76"/>
      <c r="RHW1364" s="76"/>
      <c r="RHX1364" s="76"/>
      <c r="RHY1364" s="76"/>
      <c r="RHZ1364" s="76"/>
      <c r="RIA1364" s="76"/>
      <c r="RIB1364" s="76"/>
      <c r="RIC1364" s="76"/>
      <c r="RID1364" s="76"/>
      <c r="RIE1364" s="76"/>
      <c r="RIF1364" s="76"/>
      <c r="RIG1364" s="76"/>
      <c r="RIH1364" s="76"/>
      <c r="RII1364" s="76"/>
      <c r="RIJ1364" s="76"/>
      <c r="RIK1364" s="76"/>
      <c r="RIL1364" s="76"/>
      <c r="RIM1364" s="76"/>
      <c r="RIN1364" s="76"/>
      <c r="RIO1364" s="76"/>
      <c r="RIP1364" s="76"/>
      <c r="RIQ1364" s="76"/>
      <c r="RIR1364" s="76"/>
      <c r="RIS1364" s="76"/>
      <c r="RIT1364" s="76"/>
      <c r="RIU1364" s="76"/>
      <c r="RIV1364" s="76"/>
      <c r="RIW1364" s="76"/>
      <c r="RIX1364" s="76"/>
      <c r="RIY1364" s="76"/>
      <c r="RIZ1364" s="76"/>
      <c r="RJA1364" s="76"/>
      <c r="RJB1364" s="76"/>
      <c r="RJC1364" s="76"/>
      <c r="RJD1364" s="76"/>
      <c r="RJE1364" s="76"/>
      <c r="RJF1364" s="76"/>
      <c r="RJG1364" s="76"/>
      <c r="RJH1364" s="76"/>
      <c r="RJI1364" s="76"/>
      <c r="RJJ1364" s="76"/>
      <c r="RJK1364" s="76"/>
      <c r="RJL1364" s="76"/>
      <c r="RJM1364" s="76"/>
      <c r="RJN1364" s="76"/>
      <c r="RJO1364" s="76"/>
      <c r="RJP1364" s="76"/>
      <c r="RJQ1364" s="76"/>
      <c r="RJR1364" s="76"/>
      <c r="RJS1364" s="76"/>
      <c r="RJT1364" s="76"/>
      <c r="RJU1364" s="76"/>
      <c r="RJV1364" s="76"/>
      <c r="RJW1364" s="76"/>
      <c r="RJX1364" s="76"/>
      <c r="RJY1364" s="76"/>
      <c r="RJZ1364" s="76"/>
      <c r="RKA1364" s="76"/>
      <c r="RKB1364" s="76"/>
      <c r="RKC1364" s="76"/>
      <c r="RKD1364" s="76"/>
      <c r="RKE1364" s="76"/>
      <c r="RKF1364" s="76"/>
      <c r="RKG1364" s="76"/>
      <c r="RKH1364" s="76"/>
      <c r="RKI1364" s="76"/>
      <c r="RKJ1364" s="76"/>
      <c r="RKK1364" s="76"/>
      <c r="RKL1364" s="76"/>
      <c r="RKM1364" s="76"/>
      <c r="RKN1364" s="76"/>
      <c r="RKO1364" s="76"/>
      <c r="RKP1364" s="76"/>
      <c r="RKQ1364" s="76"/>
      <c r="RKR1364" s="76"/>
      <c r="RKS1364" s="76"/>
      <c r="RKT1364" s="76"/>
      <c r="RKU1364" s="76"/>
      <c r="RKV1364" s="76"/>
      <c r="RKW1364" s="76"/>
      <c r="RKX1364" s="76"/>
      <c r="RKY1364" s="76"/>
      <c r="RKZ1364" s="76"/>
      <c r="RLA1364" s="76"/>
      <c r="RLB1364" s="76"/>
      <c r="RLC1364" s="76"/>
      <c r="RLD1364" s="76"/>
      <c r="RLE1364" s="76"/>
      <c r="RLF1364" s="76"/>
      <c r="RLG1364" s="76"/>
      <c r="RLH1364" s="76"/>
      <c r="RLI1364" s="76"/>
      <c r="RLJ1364" s="76"/>
      <c r="RLK1364" s="76"/>
      <c r="RLL1364" s="76"/>
      <c r="RLM1364" s="76"/>
      <c r="RLN1364" s="76"/>
      <c r="RLO1364" s="76"/>
      <c r="RLP1364" s="76"/>
      <c r="RLQ1364" s="76"/>
      <c r="RLR1364" s="76"/>
      <c r="RLS1364" s="76"/>
      <c r="RLT1364" s="76"/>
      <c r="RLU1364" s="76"/>
      <c r="RLV1364" s="76"/>
      <c r="RLW1364" s="76"/>
      <c r="RLX1364" s="76"/>
      <c r="RLY1364" s="76"/>
      <c r="RLZ1364" s="76"/>
      <c r="RMA1364" s="76"/>
      <c r="RMB1364" s="76"/>
      <c r="RMC1364" s="76"/>
      <c r="RMD1364" s="76"/>
      <c r="RME1364" s="76"/>
      <c r="RMF1364" s="76"/>
      <c r="RMG1364" s="76"/>
      <c r="RMH1364" s="76"/>
      <c r="RMI1364" s="76"/>
      <c r="RMJ1364" s="76"/>
      <c r="RMK1364" s="76"/>
      <c r="RML1364" s="76"/>
      <c r="RMM1364" s="76"/>
      <c r="RMN1364" s="76"/>
      <c r="RMO1364" s="76"/>
      <c r="RMP1364" s="76"/>
      <c r="RMQ1364" s="76"/>
      <c r="RMR1364" s="76"/>
      <c r="RMS1364" s="76"/>
      <c r="RMT1364" s="76"/>
      <c r="RMU1364" s="76"/>
      <c r="RMV1364" s="76"/>
      <c r="RMW1364" s="76"/>
      <c r="RMX1364" s="76"/>
      <c r="RMY1364" s="76"/>
      <c r="RMZ1364" s="76"/>
      <c r="RNA1364" s="76"/>
      <c r="RNB1364" s="76"/>
      <c r="RNC1364" s="76"/>
      <c r="RND1364" s="76"/>
      <c r="RNE1364" s="76"/>
      <c r="RNF1364" s="76"/>
      <c r="RNG1364" s="76"/>
      <c r="RNH1364" s="76"/>
      <c r="RNI1364" s="76"/>
      <c r="RNJ1364" s="76"/>
      <c r="RNK1364" s="76"/>
      <c r="RNL1364" s="76"/>
      <c r="RNM1364" s="76"/>
      <c r="RNN1364" s="76"/>
      <c r="RNO1364" s="76"/>
      <c r="RNP1364" s="76"/>
      <c r="RNQ1364" s="50"/>
      <c r="RNR1364" s="76"/>
      <c r="RNS1364" s="76"/>
      <c r="RNT1364" s="76"/>
      <c r="RNU1364" s="76"/>
      <c r="RNV1364" s="76"/>
      <c r="RNW1364" s="76"/>
      <c r="RNX1364" s="76"/>
      <c r="RNY1364" s="76"/>
      <c r="RNZ1364" s="76"/>
      <c r="ROA1364" s="76"/>
      <c r="ROB1364" s="76"/>
      <c r="ROC1364" s="76"/>
      <c r="ROD1364" s="76"/>
      <c r="ROE1364" s="76"/>
      <c r="ROF1364" s="76"/>
      <c r="ROG1364" s="76"/>
      <c r="ROH1364" s="76"/>
      <c r="ROI1364" s="76"/>
      <c r="ROJ1364" s="76"/>
      <c r="ROK1364" s="76"/>
      <c r="ROL1364" s="76"/>
      <c r="ROM1364" s="76"/>
      <c r="RON1364" s="76"/>
      <c r="ROO1364" s="76"/>
      <c r="ROP1364" s="76"/>
      <c r="ROQ1364" s="76"/>
      <c r="ROR1364" s="76"/>
      <c r="ROS1364" s="76"/>
      <c r="ROT1364" s="76"/>
      <c r="ROU1364" s="76"/>
      <c r="ROV1364" s="76"/>
      <c r="ROW1364" s="76"/>
      <c r="ROX1364" s="76"/>
      <c r="ROY1364" s="76"/>
      <c r="ROZ1364" s="76"/>
      <c r="RPA1364" s="76"/>
      <c r="RPB1364" s="76"/>
      <c r="RPC1364" s="76"/>
      <c r="RPD1364" s="76"/>
      <c r="RPE1364" s="76"/>
      <c r="RPF1364" s="76"/>
      <c r="RPG1364" s="76"/>
      <c r="RPH1364" s="76"/>
      <c r="RPI1364" s="76"/>
      <c r="RPJ1364" s="76"/>
      <c r="RPK1364" s="76"/>
      <c r="RPL1364" s="76"/>
      <c r="RPM1364" s="76"/>
      <c r="RPN1364" s="76"/>
      <c r="RPO1364" s="76"/>
      <c r="RPP1364" s="76"/>
      <c r="RPQ1364" s="76"/>
      <c r="RPR1364" s="76"/>
      <c r="RPS1364" s="76"/>
      <c r="RPT1364" s="76"/>
      <c r="RPU1364" s="76"/>
      <c r="RPV1364" s="76"/>
      <c r="RPW1364" s="76"/>
      <c r="RPX1364" s="76"/>
      <c r="RPY1364" s="76"/>
      <c r="RPZ1364" s="76"/>
      <c r="RQA1364" s="76"/>
      <c r="RQB1364" s="76"/>
      <c r="RQC1364" s="76"/>
      <c r="RQD1364" s="76"/>
      <c r="RQE1364" s="76"/>
      <c r="RQF1364" s="76"/>
      <c r="RQG1364" s="76"/>
      <c r="RQH1364" s="76"/>
      <c r="RQI1364" s="76"/>
      <c r="RQJ1364" s="76"/>
      <c r="RQK1364" s="76"/>
      <c r="RQL1364" s="76"/>
      <c r="RQM1364" s="76"/>
      <c r="RQN1364" s="76"/>
      <c r="RQO1364" s="76"/>
      <c r="RQP1364" s="76"/>
      <c r="RQQ1364" s="76"/>
      <c r="RQR1364" s="76"/>
      <c r="RQS1364" s="76"/>
      <c r="RQT1364" s="76"/>
      <c r="RQU1364" s="76"/>
      <c r="RQV1364" s="76"/>
      <c r="RQW1364" s="76"/>
      <c r="RQX1364" s="76"/>
      <c r="RQY1364" s="76"/>
      <c r="RQZ1364" s="76"/>
      <c r="RRA1364" s="76"/>
      <c r="RRB1364" s="76"/>
      <c r="RRC1364" s="76"/>
      <c r="RRD1364" s="76"/>
      <c r="RRE1364" s="76"/>
      <c r="RRF1364" s="76"/>
      <c r="RRG1364" s="76"/>
      <c r="RRH1364" s="76"/>
      <c r="RRI1364" s="76"/>
      <c r="RRJ1364" s="76"/>
      <c r="RRK1364" s="76"/>
      <c r="RRL1364" s="76"/>
      <c r="RRM1364" s="76"/>
      <c r="RRN1364" s="76"/>
      <c r="RRO1364" s="76"/>
      <c r="RRP1364" s="76"/>
      <c r="RRQ1364" s="76"/>
      <c r="RRR1364" s="76"/>
      <c r="RRS1364" s="76"/>
      <c r="RRT1364" s="76"/>
      <c r="RRU1364" s="76"/>
      <c r="RRV1364" s="76"/>
      <c r="RRW1364" s="76"/>
      <c r="RRX1364" s="76"/>
      <c r="RRY1364" s="76"/>
      <c r="RRZ1364" s="76"/>
      <c r="RSA1364" s="76"/>
      <c r="RSB1364" s="76"/>
      <c r="RSC1364" s="76"/>
      <c r="RSD1364" s="76"/>
      <c r="RSE1364" s="76"/>
      <c r="RSF1364" s="76"/>
      <c r="RSG1364" s="76"/>
      <c r="RSH1364" s="76"/>
      <c r="RSI1364" s="76"/>
      <c r="RSJ1364" s="76"/>
      <c r="RSK1364" s="76"/>
      <c r="RSL1364" s="76"/>
      <c r="RSM1364" s="76"/>
      <c r="RSN1364" s="76"/>
      <c r="RSO1364" s="76"/>
      <c r="RSP1364" s="76"/>
      <c r="RSQ1364" s="76"/>
      <c r="RSR1364" s="76"/>
      <c r="RSS1364" s="76"/>
      <c r="RST1364" s="76"/>
      <c r="RSU1364" s="76"/>
      <c r="RSV1364" s="76"/>
      <c r="RSW1364" s="76"/>
      <c r="RSX1364" s="76"/>
      <c r="RSY1364" s="76"/>
      <c r="RSZ1364" s="76"/>
      <c r="RTA1364" s="76"/>
      <c r="RTB1364" s="76"/>
      <c r="RTC1364" s="76"/>
      <c r="RTD1364" s="76"/>
      <c r="RTE1364" s="76"/>
      <c r="RTF1364" s="76"/>
      <c r="RTG1364" s="76"/>
      <c r="RTH1364" s="76"/>
      <c r="RTI1364" s="76"/>
      <c r="RTJ1364" s="76"/>
      <c r="RTK1364" s="76"/>
      <c r="RTL1364" s="76"/>
      <c r="RTM1364" s="76"/>
      <c r="RTN1364" s="76"/>
      <c r="RTO1364" s="76"/>
      <c r="RTP1364" s="76"/>
      <c r="RTQ1364" s="76"/>
      <c r="RTR1364" s="76"/>
      <c r="RTS1364" s="76"/>
      <c r="RTT1364" s="76"/>
      <c r="RTU1364" s="76"/>
      <c r="RTV1364" s="76"/>
      <c r="RTW1364" s="76"/>
      <c r="RTX1364" s="76"/>
      <c r="RTY1364" s="76"/>
      <c r="RTZ1364" s="76"/>
      <c r="RUA1364" s="76"/>
      <c r="RUB1364" s="76"/>
      <c r="RUC1364" s="76"/>
      <c r="RUD1364" s="76"/>
      <c r="RUE1364" s="76"/>
      <c r="RUF1364" s="76"/>
      <c r="RUG1364" s="76"/>
      <c r="RUH1364" s="76"/>
      <c r="RUI1364" s="76"/>
      <c r="RUJ1364" s="76"/>
      <c r="RUK1364" s="76"/>
      <c r="RUL1364" s="76"/>
      <c r="RUM1364" s="76"/>
      <c r="RUN1364" s="76"/>
      <c r="RUO1364" s="76"/>
      <c r="RUP1364" s="76"/>
      <c r="RUQ1364" s="76"/>
      <c r="RUR1364" s="76"/>
      <c r="RUS1364" s="76"/>
      <c r="RUT1364" s="76"/>
      <c r="RUU1364" s="76"/>
      <c r="RUV1364" s="76"/>
      <c r="RUW1364" s="76"/>
      <c r="RUX1364" s="76"/>
      <c r="RUY1364" s="76"/>
      <c r="RUZ1364" s="76"/>
      <c r="RVA1364" s="76"/>
      <c r="RVB1364" s="76"/>
      <c r="RVC1364" s="76"/>
      <c r="RVD1364" s="76"/>
      <c r="RVE1364" s="76"/>
      <c r="RVF1364" s="76"/>
      <c r="RVG1364" s="76"/>
      <c r="RVH1364" s="76"/>
      <c r="RVI1364" s="76"/>
      <c r="RVJ1364" s="76"/>
      <c r="RVK1364" s="76"/>
      <c r="RVL1364" s="76"/>
      <c r="RVM1364" s="76"/>
      <c r="RVN1364" s="76"/>
      <c r="RVO1364" s="76"/>
      <c r="RVP1364" s="76"/>
      <c r="RVQ1364" s="76"/>
      <c r="RVR1364" s="76"/>
      <c r="RVS1364" s="76"/>
      <c r="RVT1364" s="76"/>
      <c r="RVU1364" s="76"/>
      <c r="RVV1364" s="76"/>
      <c r="RVW1364" s="76"/>
      <c r="RVX1364" s="76"/>
      <c r="RVY1364" s="76"/>
      <c r="RVZ1364" s="76"/>
      <c r="RWA1364" s="76"/>
      <c r="RWB1364" s="76"/>
      <c r="RWC1364" s="76"/>
      <c r="RWD1364" s="76"/>
      <c r="RWE1364" s="76"/>
      <c r="RWF1364" s="76"/>
      <c r="RWG1364" s="76"/>
      <c r="RWH1364" s="76"/>
      <c r="RWI1364" s="76"/>
      <c r="RWJ1364" s="76"/>
      <c r="RWK1364" s="76"/>
      <c r="RWL1364" s="76"/>
      <c r="RWM1364" s="76"/>
      <c r="RWN1364" s="76"/>
      <c r="RWO1364" s="76"/>
      <c r="RWP1364" s="76"/>
      <c r="RWQ1364" s="76"/>
      <c r="RWR1364" s="76"/>
      <c r="RWS1364" s="76"/>
      <c r="RWT1364" s="76"/>
      <c r="RWU1364" s="76"/>
      <c r="RWV1364" s="76"/>
      <c r="RWW1364" s="76"/>
      <c r="RWX1364" s="76"/>
      <c r="RWY1364" s="76"/>
      <c r="RWZ1364" s="76"/>
      <c r="RXA1364" s="76"/>
      <c r="RXB1364" s="76"/>
      <c r="RXC1364" s="76"/>
      <c r="RXD1364" s="76"/>
      <c r="RXE1364" s="76"/>
      <c r="RXF1364" s="76"/>
      <c r="RXG1364" s="76"/>
      <c r="RXH1364" s="76"/>
      <c r="RXI1364" s="76"/>
      <c r="RXJ1364" s="76"/>
      <c r="RXK1364" s="76"/>
      <c r="RXL1364" s="76"/>
      <c r="RXM1364" s="50"/>
      <c r="RXN1364" s="76"/>
      <c r="RXO1364" s="76"/>
      <c r="RXP1364" s="76"/>
      <c r="RXQ1364" s="76"/>
      <c r="RXR1364" s="76"/>
      <c r="RXS1364" s="76"/>
      <c r="RXT1364" s="76"/>
      <c r="RXU1364" s="76"/>
      <c r="RXV1364" s="76"/>
      <c r="RXW1364" s="76"/>
      <c r="RXX1364" s="76"/>
      <c r="RXY1364" s="76"/>
      <c r="RXZ1364" s="76"/>
      <c r="RYA1364" s="76"/>
      <c r="RYB1364" s="76"/>
      <c r="RYC1364" s="76"/>
      <c r="RYD1364" s="76"/>
      <c r="RYE1364" s="76"/>
      <c r="RYF1364" s="76"/>
      <c r="RYG1364" s="76"/>
      <c r="RYH1364" s="76"/>
      <c r="RYI1364" s="76"/>
      <c r="RYJ1364" s="76"/>
      <c r="RYK1364" s="76"/>
      <c r="RYL1364" s="76"/>
      <c r="RYM1364" s="76"/>
      <c r="RYN1364" s="76"/>
      <c r="RYO1364" s="76"/>
      <c r="RYP1364" s="76"/>
      <c r="RYQ1364" s="76"/>
      <c r="RYR1364" s="76"/>
      <c r="RYS1364" s="76"/>
      <c r="RYT1364" s="76"/>
      <c r="RYU1364" s="76"/>
      <c r="RYV1364" s="76"/>
      <c r="RYW1364" s="76"/>
      <c r="RYX1364" s="76"/>
      <c r="RYY1364" s="76"/>
      <c r="RYZ1364" s="76"/>
      <c r="RZA1364" s="76"/>
      <c r="RZB1364" s="76"/>
      <c r="RZC1364" s="76"/>
      <c r="RZD1364" s="76"/>
      <c r="RZE1364" s="76"/>
      <c r="RZF1364" s="76"/>
      <c r="RZG1364" s="76"/>
      <c r="RZH1364" s="76"/>
      <c r="RZI1364" s="76"/>
      <c r="RZJ1364" s="76"/>
      <c r="RZK1364" s="76"/>
      <c r="RZL1364" s="76"/>
      <c r="RZM1364" s="76"/>
      <c r="RZN1364" s="76"/>
      <c r="RZO1364" s="76"/>
      <c r="RZP1364" s="76"/>
      <c r="RZQ1364" s="76"/>
      <c r="RZR1364" s="76"/>
      <c r="RZS1364" s="76"/>
      <c r="RZT1364" s="76"/>
      <c r="RZU1364" s="76"/>
      <c r="RZV1364" s="76"/>
      <c r="RZW1364" s="76"/>
      <c r="RZX1364" s="76"/>
      <c r="RZY1364" s="76"/>
      <c r="RZZ1364" s="76"/>
      <c r="SAA1364" s="76"/>
      <c r="SAB1364" s="76"/>
      <c r="SAC1364" s="76"/>
      <c r="SAD1364" s="76"/>
      <c r="SAE1364" s="76"/>
      <c r="SAF1364" s="76"/>
      <c r="SAG1364" s="76"/>
      <c r="SAH1364" s="76"/>
      <c r="SAI1364" s="76"/>
      <c r="SAJ1364" s="76"/>
      <c r="SAK1364" s="76"/>
      <c r="SAL1364" s="76"/>
      <c r="SAM1364" s="76"/>
      <c r="SAN1364" s="76"/>
      <c r="SAO1364" s="76"/>
      <c r="SAP1364" s="76"/>
      <c r="SAQ1364" s="76"/>
      <c r="SAR1364" s="76"/>
      <c r="SAS1364" s="76"/>
      <c r="SAT1364" s="76"/>
      <c r="SAU1364" s="76"/>
      <c r="SAV1364" s="76"/>
      <c r="SAW1364" s="76"/>
      <c r="SAX1364" s="76"/>
      <c r="SAY1364" s="76"/>
      <c r="SAZ1364" s="76"/>
      <c r="SBA1364" s="76"/>
      <c r="SBB1364" s="76"/>
      <c r="SBC1364" s="76"/>
      <c r="SBD1364" s="76"/>
      <c r="SBE1364" s="76"/>
      <c r="SBF1364" s="76"/>
      <c r="SBG1364" s="76"/>
      <c r="SBH1364" s="76"/>
      <c r="SBI1364" s="76"/>
      <c r="SBJ1364" s="76"/>
      <c r="SBK1364" s="76"/>
      <c r="SBL1364" s="76"/>
      <c r="SBM1364" s="76"/>
      <c r="SBN1364" s="76"/>
      <c r="SBO1364" s="76"/>
      <c r="SBP1364" s="76"/>
      <c r="SBQ1364" s="76"/>
      <c r="SBR1364" s="76"/>
      <c r="SBS1364" s="76"/>
      <c r="SBT1364" s="76"/>
      <c r="SBU1364" s="76"/>
      <c r="SBV1364" s="76"/>
      <c r="SBW1364" s="76"/>
      <c r="SBX1364" s="76"/>
      <c r="SBY1364" s="76"/>
      <c r="SBZ1364" s="76"/>
      <c r="SCA1364" s="76"/>
      <c r="SCB1364" s="76"/>
      <c r="SCC1364" s="76"/>
      <c r="SCD1364" s="76"/>
      <c r="SCE1364" s="76"/>
      <c r="SCF1364" s="76"/>
      <c r="SCG1364" s="76"/>
      <c r="SCH1364" s="76"/>
      <c r="SCI1364" s="76"/>
      <c r="SCJ1364" s="76"/>
      <c r="SCK1364" s="76"/>
      <c r="SCL1364" s="76"/>
      <c r="SCM1364" s="76"/>
      <c r="SCN1364" s="76"/>
      <c r="SCO1364" s="76"/>
      <c r="SCP1364" s="76"/>
      <c r="SCQ1364" s="76"/>
      <c r="SCR1364" s="76"/>
      <c r="SCS1364" s="76"/>
      <c r="SCT1364" s="76"/>
      <c r="SCU1364" s="76"/>
      <c r="SCV1364" s="76"/>
      <c r="SCW1364" s="76"/>
      <c r="SCX1364" s="76"/>
      <c r="SCY1364" s="76"/>
      <c r="SCZ1364" s="76"/>
      <c r="SDA1364" s="76"/>
      <c r="SDB1364" s="76"/>
      <c r="SDC1364" s="76"/>
      <c r="SDD1364" s="76"/>
      <c r="SDE1364" s="76"/>
      <c r="SDF1364" s="76"/>
      <c r="SDG1364" s="76"/>
      <c r="SDH1364" s="76"/>
      <c r="SDI1364" s="76"/>
      <c r="SDJ1364" s="76"/>
      <c r="SDK1364" s="76"/>
      <c r="SDL1364" s="76"/>
      <c r="SDM1364" s="76"/>
      <c r="SDN1364" s="76"/>
      <c r="SDO1364" s="76"/>
      <c r="SDP1364" s="76"/>
      <c r="SDQ1364" s="76"/>
      <c r="SDR1364" s="76"/>
      <c r="SDS1364" s="76"/>
      <c r="SDT1364" s="76"/>
      <c r="SDU1364" s="76"/>
      <c r="SDV1364" s="76"/>
      <c r="SDW1364" s="76"/>
      <c r="SDX1364" s="76"/>
      <c r="SDY1364" s="76"/>
      <c r="SDZ1364" s="76"/>
      <c r="SEA1364" s="76"/>
      <c r="SEB1364" s="76"/>
      <c r="SEC1364" s="76"/>
      <c r="SED1364" s="76"/>
      <c r="SEE1364" s="76"/>
      <c r="SEF1364" s="76"/>
      <c r="SEG1364" s="76"/>
      <c r="SEH1364" s="76"/>
      <c r="SEI1364" s="76"/>
      <c r="SEJ1364" s="76"/>
      <c r="SEK1364" s="76"/>
      <c r="SEL1364" s="76"/>
      <c r="SEM1364" s="76"/>
      <c r="SEN1364" s="76"/>
      <c r="SEO1364" s="76"/>
      <c r="SEP1364" s="76"/>
      <c r="SEQ1364" s="76"/>
      <c r="SER1364" s="76"/>
      <c r="SES1364" s="76"/>
      <c r="SET1364" s="76"/>
      <c r="SEU1364" s="76"/>
      <c r="SEV1364" s="76"/>
      <c r="SEW1364" s="76"/>
      <c r="SEX1364" s="76"/>
      <c r="SEY1364" s="76"/>
      <c r="SEZ1364" s="76"/>
      <c r="SFA1364" s="76"/>
      <c r="SFB1364" s="76"/>
      <c r="SFC1364" s="76"/>
      <c r="SFD1364" s="76"/>
      <c r="SFE1364" s="76"/>
      <c r="SFF1364" s="76"/>
      <c r="SFG1364" s="76"/>
      <c r="SFH1364" s="76"/>
      <c r="SFI1364" s="76"/>
      <c r="SFJ1364" s="76"/>
      <c r="SFK1364" s="76"/>
      <c r="SFL1364" s="76"/>
      <c r="SFM1364" s="76"/>
      <c r="SFN1364" s="76"/>
      <c r="SFO1364" s="76"/>
      <c r="SFP1364" s="76"/>
      <c r="SFQ1364" s="76"/>
      <c r="SFR1364" s="76"/>
      <c r="SFS1364" s="76"/>
      <c r="SFT1364" s="76"/>
      <c r="SFU1364" s="76"/>
      <c r="SFV1364" s="76"/>
      <c r="SFW1364" s="76"/>
      <c r="SFX1364" s="76"/>
      <c r="SFY1364" s="76"/>
      <c r="SFZ1364" s="76"/>
      <c r="SGA1364" s="76"/>
      <c r="SGB1364" s="76"/>
      <c r="SGC1364" s="76"/>
      <c r="SGD1364" s="76"/>
      <c r="SGE1364" s="76"/>
      <c r="SGF1364" s="76"/>
      <c r="SGG1364" s="76"/>
      <c r="SGH1364" s="76"/>
      <c r="SGI1364" s="76"/>
      <c r="SGJ1364" s="76"/>
      <c r="SGK1364" s="76"/>
      <c r="SGL1364" s="76"/>
      <c r="SGM1364" s="76"/>
      <c r="SGN1364" s="76"/>
      <c r="SGO1364" s="76"/>
      <c r="SGP1364" s="76"/>
      <c r="SGQ1364" s="76"/>
      <c r="SGR1364" s="76"/>
      <c r="SGS1364" s="76"/>
      <c r="SGT1364" s="76"/>
      <c r="SGU1364" s="76"/>
      <c r="SGV1364" s="76"/>
      <c r="SGW1364" s="76"/>
      <c r="SGX1364" s="76"/>
      <c r="SGY1364" s="76"/>
      <c r="SGZ1364" s="76"/>
      <c r="SHA1364" s="76"/>
      <c r="SHB1364" s="76"/>
      <c r="SHC1364" s="76"/>
      <c r="SHD1364" s="76"/>
      <c r="SHE1364" s="76"/>
      <c r="SHF1364" s="76"/>
      <c r="SHG1364" s="76"/>
      <c r="SHH1364" s="76"/>
      <c r="SHI1364" s="50"/>
      <c r="SHJ1364" s="76"/>
      <c r="SHK1364" s="76"/>
      <c r="SHL1364" s="76"/>
      <c r="SHM1364" s="76"/>
      <c r="SHN1364" s="76"/>
      <c r="SHO1364" s="76"/>
      <c r="SHP1364" s="76"/>
      <c r="SHQ1364" s="76"/>
      <c r="SHR1364" s="76"/>
      <c r="SHS1364" s="76"/>
      <c r="SHT1364" s="76"/>
      <c r="SHU1364" s="76"/>
      <c r="SHV1364" s="76"/>
      <c r="SHW1364" s="76"/>
      <c r="SHX1364" s="76"/>
      <c r="SHY1364" s="76"/>
      <c r="SHZ1364" s="76"/>
      <c r="SIA1364" s="76"/>
      <c r="SIB1364" s="76"/>
      <c r="SIC1364" s="76"/>
      <c r="SID1364" s="76"/>
      <c r="SIE1364" s="76"/>
      <c r="SIF1364" s="76"/>
      <c r="SIG1364" s="76"/>
      <c r="SIH1364" s="76"/>
      <c r="SII1364" s="76"/>
      <c r="SIJ1364" s="76"/>
      <c r="SIK1364" s="76"/>
      <c r="SIL1364" s="76"/>
      <c r="SIM1364" s="76"/>
      <c r="SIN1364" s="76"/>
      <c r="SIO1364" s="76"/>
      <c r="SIP1364" s="76"/>
      <c r="SIQ1364" s="76"/>
      <c r="SIR1364" s="76"/>
      <c r="SIS1364" s="76"/>
      <c r="SIT1364" s="76"/>
      <c r="SIU1364" s="76"/>
      <c r="SIV1364" s="76"/>
      <c r="SIW1364" s="76"/>
      <c r="SIX1364" s="76"/>
      <c r="SIY1364" s="76"/>
      <c r="SIZ1364" s="76"/>
      <c r="SJA1364" s="76"/>
      <c r="SJB1364" s="76"/>
      <c r="SJC1364" s="76"/>
      <c r="SJD1364" s="76"/>
      <c r="SJE1364" s="76"/>
      <c r="SJF1364" s="76"/>
      <c r="SJG1364" s="76"/>
      <c r="SJH1364" s="76"/>
      <c r="SJI1364" s="76"/>
      <c r="SJJ1364" s="76"/>
      <c r="SJK1364" s="76"/>
      <c r="SJL1364" s="76"/>
      <c r="SJM1364" s="76"/>
      <c r="SJN1364" s="76"/>
      <c r="SJO1364" s="76"/>
      <c r="SJP1364" s="76"/>
      <c r="SJQ1364" s="76"/>
      <c r="SJR1364" s="76"/>
      <c r="SJS1364" s="76"/>
      <c r="SJT1364" s="76"/>
      <c r="SJU1364" s="76"/>
      <c r="SJV1364" s="76"/>
      <c r="SJW1364" s="76"/>
      <c r="SJX1364" s="76"/>
      <c r="SJY1364" s="76"/>
      <c r="SJZ1364" s="76"/>
      <c r="SKA1364" s="76"/>
      <c r="SKB1364" s="76"/>
      <c r="SKC1364" s="76"/>
      <c r="SKD1364" s="76"/>
      <c r="SKE1364" s="76"/>
      <c r="SKF1364" s="76"/>
      <c r="SKG1364" s="76"/>
      <c r="SKH1364" s="76"/>
      <c r="SKI1364" s="76"/>
      <c r="SKJ1364" s="76"/>
      <c r="SKK1364" s="76"/>
      <c r="SKL1364" s="76"/>
      <c r="SKM1364" s="76"/>
      <c r="SKN1364" s="76"/>
      <c r="SKO1364" s="76"/>
      <c r="SKP1364" s="76"/>
      <c r="SKQ1364" s="76"/>
      <c r="SKR1364" s="76"/>
      <c r="SKS1364" s="76"/>
      <c r="SKT1364" s="76"/>
      <c r="SKU1364" s="76"/>
      <c r="SKV1364" s="76"/>
      <c r="SKW1364" s="76"/>
      <c r="SKX1364" s="76"/>
      <c r="SKY1364" s="76"/>
      <c r="SKZ1364" s="76"/>
      <c r="SLA1364" s="76"/>
      <c r="SLB1364" s="76"/>
      <c r="SLC1364" s="76"/>
      <c r="SLD1364" s="76"/>
      <c r="SLE1364" s="76"/>
      <c r="SLF1364" s="76"/>
      <c r="SLG1364" s="76"/>
      <c r="SLH1364" s="76"/>
      <c r="SLI1364" s="76"/>
      <c r="SLJ1364" s="76"/>
      <c r="SLK1364" s="76"/>
      <c r="SLL1364" s="76"/>
      <c r="SLM1364" s="76"/>
      <c r="SLN1364" s="76"/>
      <c r="SLO1364" s="76"/>
      <c r="SLP1364" s="76"/>
      <c r="SLQ1364" s="76"/>
      <c r="SLR1364" s="76"/>
      <c r="SLS1364" s="76"/>
      <c r="SLT1364" s="76"/>
      <c r="SLU1364" s="76"/>
      <c r="SLV1364" s="76"/>
      <c r="SLW1364" s="76"/>
      <c r="SLX1364" s="76"/>
      <c r="SLY1364" s="76"/>
      <c r="SLZ1364" s="76"/>
      <c r="SMA1364" s="76"/>
      <c r="SMB1364" s="76"/>
      <c r="SMC1364" s="76"/>
      <c r="SMD1364" s="76"/>
      <c r="SME1364" s="76"/>
      <c r="SMF1364" s="76"/>
      <c r="SMG1364" s="76"/>
      <c r="SMH1364" s="76"/>
      <c r="SMI1364" s="76"/>
      <c r="SMJ1364" s="76"/>
      <c r="SMK1364" s="76"/>
      <c r="SML1364" s="76"/>
      <c r="SMM1364" s="76"/>
      <c r="SMN1364" s="76"/>
      <c r="SMO1364" s="76"/>
      <c r="SMP1364" s="76"/>
      <c r="SMQ1364" s="76"/>
      <c r="SMR1364" s="76"/>
      <c r="SMS1364" s="76"/>
      <c r="SMT1364" s="76"/>
      <c r="SMU1364" s="76"/>
      <c r="SMV1364" s="76"/>
      <c r="SMW1364" s="76"/>
      <c r="SMX1364" s="76"/>
      <c r="SMY1364" s="76"/>
      <c r="SMZ1364" s="76"/>
      <c r="SNA1364" s="76"/>
      <c r="SNB1364" s="76"/>
      <c r="SNC1364" s="76"/>
      <c r="SND1364" s="76"/>
      <c r="SNE1364" s="76"/>
      <c r="SNF1364" s="76"/>
      <c r="SNG1364" s="76"/>
      <c r="SNH1364" s="76"/>
      <c r="SNI1364" s="76"/>
      <c r="SNJ1364" s="76"/>
      <c r="SNK1364" s="76"/>
      <c r="SNL1364" s="76"/>
      <c r="SNM1364" s="76"/>
      <c r="SNN1364" s="76"/>
      <c r="SNO1364" s="76"/>
      <c r="SNP1364" s="76"/>
      <c r="SNQ1364" s="76"/>
      <c r="SNR1364" s="76"/>
      <c r="SNS1364" s="76"/>
      <c r="SNT1364" s="76"/>
      <c r="SNU1364" s="76"/>
      <c r="SNV1364" s="76"/>
      <c r="SNW1364" s="76"/>
      <c r="SNX1364" s="76"/>
      <c r="SNY1364" s="76"/>
      <c r="SNZ1364" s="76"/>
      <c r="SOA1364" s="76"/>
      <c r="SOB1364" s="76"/>
      <c r="SOC1364" s="76"/>
      <c r="SOD1364" s="76"/>
      <c r="SOE1364" s="76"/>
      <c r="SOF1364" s="76"/>
      <c r="SOG1364" s="76"/>
      <c r="SOH1364" s="76"/>
      <c r="SOI1364" s="76"/>
      <c r="SOJ1364" s="76"/>
      <c r="SOK1364" s="76"/>
      <c r="SOL1364" s="76"/>
      <c r="SOM1364" s="76"/>
      <c r="SON1364" s="76"/>
      <c r="SOO1364" s="76"/>
      <c r="SOP1364" s="76"/>
      <c r="SOQ1364" s="76"/>
      <c r="SOR1364" s="76"/>
      <c r="SOS1364" s="76"/>
      <c r="SOT1364" s="76"/>
      <c r="SOU1364" s="76"/>
      <c r="SOV1364" s="76"/>
      <c r="SOW1364" s="76"/>
      <c r="SOX1364" s="76"/>
      <c r="SOY1364" s="76"/>
      <c r="SOZ1364" s="76"/>
      <c r="SPA1364" s="76"/>
      <c r="SPB1364" s="76"/>
      <c r="SPC1364" s="76"/>
      <c r="SPD1364" s="76"/>
      <c r="SPE1364" s="76"/>
      <c r="SPF1364" s="76"/>
      <c r="SPG1364" s="76"/>
      <c r="SPH1364" s="76"/>
      <c r="SPI1364" s="76"/>
      <c r="SPJ1364" s="76"/>
      <c r="SPK1364" s="76"/>
      <c r="SPL1364" s="76"/>
      <c r="SPM1364" s="76"/>
      <c r="SPN1364" s="76"/>
      <c r="SPO1364" s="76"/>
      <c r="SPP1364" s="76"/>
      <c r="SPQ1364" s="76"/>
      <c r="SPR1364" s="76"/>
      <c r="SPS1364" s="76"/>
      <c r="SPT1364" s="76"/>
      <c r="SPU1364" s="76"/>
      <c r="SPV1364" s="76"/>
      <c r="SPW1364" s="76"/>
      <c r="SPX1364" s="76"/>
      <c r="SPY1364" s="76"/>
      <c r="SPZ1364" s="76"/>
      <c r="SQA1364" s="76"/>
      <c r="SQB1364" s="76"/>
      <c r="SQC1364" s="76"/>
      <c r="SQD1364" s="76"/>
      <c r="SQE1364" s="76"/>
      <c r="SQF1364" s="76"/>
      <c r="SQG1364" s="76"/>
      <c r="SQH1364" s="76"/>
      <c r="SQI1364" s="76"/>
      <c r="SQJ1364" s="76"/>
      <c r="SQK1364" s="76"/>
      <c r="SQL1364" s="76"/>
      <c r="SQM1364" s="76"/>
      <c r="SQN1364" s="76"/>
      <c r="SQO1364" s="76"/>
      <c r="SQP1364" s="76"/>
      <c r="SQQ1364" s="76"/>
      <c r="SQR1364" s="76"/>
      <c r="SQS1364" s="76"/>
      <c r="SQT1364" s="76"/>
      <c r="SQU1364" s="76"/>
      <c r="SQV1364" s="76"/>
      <c r="SQW1364" s="76"/>
      <c r="SQX1364" s="76"/>
      <c r="SQY1364" s="76"/>
      <c r="SQZ1364" s="76"/>
      <c r="SRA1364" s="76"/>
      <c r="SRB1364" s="76"/>
      <c r="SRC1364" s="76"/>
      <c r="SRD1364" s="76"/>
      <c r="SRE1364" s="50"/>
      <c r="SRF1364" s="76"/>
      <c r="SRG1364" s="76"/>
      <c r="SRH1364" s="76"/>
      <c r="SRI1364" s="76"/>
      <c r="SRJ1364" s="76"/>
      <c r="SRK1364" s="76"/>
      <c r="SRL1364" s="76"/>
      <c r="SRM1364" s="76"/>
      <c r="SRN1364" s="76"/>
      <c r="SRO1364" s="76"/>
      <c r="SRP1364" s="76"/>
      <c r="SRQ1364" s="76"/>
      <c r="SRR1364" s="76"/>
      <c r="SRS1364" s="76"/>
      <c r="SRT1364" s="76"/>
      <c r="SRU1364" s="76"/>
      <c r="SRV1364" s="76"/>
      <c r="SRW1364" s="76"/>
      <c r="SRX1364" s="76"/>
      <c r="SRY1364" s="76"/>
      <c r="SRZ1364" s="76"/>
      <c r="SSA1364" s="76"/>
      <c r="SSB1364" s="76"/>
      <c r="SSC1364" s="76"/>
      <c r="SSD1364" s="76"/>
      <c r="SSE1364" s="76"/>
      <c r="SSF1364" s="76"/>
      <c r="SSG1364" s="76"/>
      <c r="SSH1364" s="76"/>
      <c r="SSI1364" s="76"/>
      <c r="SSJ1364" s="76"/>
      <c r="SSK1364" s="76"/>
      <c r="SSL1364" s="76"/>
      <c r="SSM1364" s="76"/>
      <c r="SSN1364" s="76"/>
      <c r="SSO1364" s="76"/>
      <c r="SSP1364" s="76"/>
      <c r="SSQ1364" s="76"/>
      <c r="SSR1364" s="76"/>
      <c r="SSS1364" s="76"/>
      <c r="SST1364" s="76"/>
      <c r="SSU1364" s="76"/>
      <c r="SSV1364" s="76"/>
      <c r="SSW1364" s="76"/>
      <c r="SSX1364" s="76"/>
      <c r="SSY1364" s="76"/>
      <c r="SSZ1364" s="76"/>
      <c r="STA1364" s="76"/>
      <c r="STB1364" s="76"/>
      <c r="STC1364" s="76"/>
      <c r="STD1364" s="76"/>
      <c r="STE1364" s="76"/>
      <c r="STF1364" s="76"/>
      <c r="STG1364" s="76"/>
      <c r="STH1364" s="76"/>
      <c r="STI1364" s="76"/>
      <c r="STJ1364" s="76"/>
      <c r="STK1364" s="76"/>
      <c r="STL1364" s="76"/>
      <c r="STM1364" s="76"/>
      <c r="STN1364" s="76"/>
      <c r="STO1364" s="76"/>
      <c r="STP1364" s="76"/>
      <c r="STQ1364" s="76"/>
      <c r="STR1364" s="76"/>
      <c r="STS1364" s="76"/>
      <c r="STT1364" s="76"/>
      <c r="STU1364" s="76"/>
      <c r="STV1364" s="76"/>
      <c r="STW1364" s="76"/>
      <c r="STX1364" s="76"/>
      <c r="STY1364" s="76"/>
      <c r="STZ1364" s="76"/>
      <c r="SUA1364" s="76"/>
      <c r="SUB1364" s="76"/>
      <c r="SUC1364" s="76"/>
      <c r="SUD1364" s="76"/>
      <c r="SUE1364" s="76"/>
      <c r="SUF1364" s="76"/>
      <c r="SUG1364" s="76"/>
      <c r="SUH1364" s="76"/>
      <c r="SUI1364" s="76"/>
      <c r="SUJ1364" s="76"/>
      <c r="SUK1364" s="76"/>
      <c r="SUL1364" s="76"/>
      <c r="SUM1364" s="76"/>
      <c r="SUN1364" s="76"/>
      <c r="SUO1364" s="76"/>
      <c r="SUP1364" s="76"/>
      <c r="SUQ1364" s="76"/>
      <c r="SUR1364" s="76"/>
      <c r="SUS1364" s="76"/>
      <c r="SUT1364" s="76"/>
      <c r="SUU1364" s="76"/>
      <c r="SUV1364" s="76"/>
      <c r="SUW1364" s="76"/>
      <c r="SUX1364" s="76"/>
      <c r="SUY1364" s="76"/>
      <c r="SUZ1364" s="76"/>
      <c r="SVA1364" s="76"/>
      <c r="SVB1364" s="76"/>
      <c r="SVC1364" s="76"/>
      <c r="SVD1364" s="76"/>
      <c r="SVE1364" s="76"/>
      <c r="SVF1364" s="76"/>
      <c r="SVG1364" s="76"/>
      <c r="SVH1364" s="76"/>
      <c r="SVI1364" s="76"/>
      <c r="SVJ1364" s="76"/>
      <c r="SVK1364" s="76"/>
      <c r="SVL1364" s="76"/>
      <c r="SVM1364" s="76"/>
      <c r="SVN1364" s="76"/>
      <c r="SVO1364" s="76"/>
      <c r="SVP1364" s="76"/>
      <c r="SVQ1364" s="76"/>
      <c r="SVR1364" s="76"/>
      <c r="SVS1364" s="76"/>
      <c r="SVT1364" s="76"/>
      <c r="SVU1364" s="76"/>
      <c r="SVV1364" s="76"/>
      <c r="SVW1364" s="76"/>
      <c r="SVX1364" s="76"/>
      <c r="SVY1364" s="76"/>
      <c r="SVZ1364" s="76"/>
      <c r="SWA1364" s="76"/>
      <c r="SWB1364" s="76"/>
      <c r="SWC1364" s="76"/>
      <c r="SWD1364" s="76"/>
      <c r="SWE1364" s="76"/>
      <c r="SWF1364" s="76"/>
      <c r="SWG1364" s="76"/>
      <c r="SWH1364" s="76"/>
      <c r="SWI1364" s="76"/>
      <c r="SWJ1364" s="76"/>
      <c r="SWK1364" s="76"/>
      <c r="SWL1364" s="76"/>
      <c r="SWM1364" s="76"/>
      <c r="SWN1364" s="76"/>
      <c r="SWO1364" s="76"/>
      <c r="SWP1364" s="76"/>
      <c r="SWQ1364" s="76"/>
      <c r="SWR1364" s="76"/>
      <c r="SWS1364" s="76"/>
      <c r="SWT1364" s="76"/>
      <c r="SWU1364" s="76"/>
      <c r="SWV1364" s="76"/>
      <c r="SWW1364" s="76"/>
      <c r="SWX1364" s="76"/>
      <c r="SWY1364" s="76"/>
      <c r="SWZ1364" s="76"/>
      <c r="SXA1364" s="76"/>
      <c r="SXB1364" s="76"/>
      <c r="SXC1364" s="76"/>
      <c r="SXD1364" s="76"/>
      <c r="SXE1364" s="76"/>
      <c r="SXF1364" s="76"/>
      <c r="SXG1364" s="76"/>
      <c r="SXH1364" s="76"/>
      <c r="SXI1364" s="76"/>
      <c r="SXJ1364" s="76"/>
      <c r="SXK1364" s="76"/>
      <c r="SXL1364" s="76"/>
      <c r="SXM1364" s="76"/>
      <c r="SXN1364" s="76"/>
      <c r="SXO1364" s="76"/>
      <c r="SXP1364" s="76"/>
      <c r="SXQ1364" s="76"/>
      <c r="SXR1364" s="76"/>
      <c r="SXS1364" s="76"/>
      <c r="SXT1364" s="76"/>
      <c r="SXU1364" s="76"/>
      <c r="SXV1364" s="76"/>
      <c r="SXW1364" s="76"/>
      <c r="SXX1364" s="76"/>
      <c r="SXY1364" s="76"/>
      <c r="SXZ1364" s="76"/>
      <c r="SYA1364" s="76"/>
      <c r="SYB1364" s="76"/>
      <c r="SYC1364" s="76"/>
      <c r="SYD1364" s="76"/>
      <c r="SYE1364" s="76"/>
      <c r="SYF1364" s="76"/>
      <c r="SYG1364" s="76"/>
      <c r="SYH1364" s="76"/>
      <c r="SYI1364" s="76"/>
      <c r="SYJ1364" s="76"/>
      <c r="SYK1364" s="76"/>
      <c r="SYL1364" s="76"/>
      <c r="SYM1364" s="76"/>
      <c r="SYN1364" s="76"/>
      <c r="SYO1364" s="76"/>
      <c r="SYP1364" s="76"/>
      <c r="SYQ1364" s="76"/>
      <c r="SYR1364" s="76"/>
      <c r="SYS1364" s="76"/>
      <c r="SYT1364" s="76"/>
      <c r="SYU1364" s="76"/>
      <c r="SYV1364" s="76"/>
      <c r="SYW1364" s="76"/>
      <c r="SYX1364" s="76"/>
      <c r="SYY1364" s="76"/>
      <c r="SYZ1364" s="76"/>
      <c r="SZA1364" s="76"/>
      <c r="SZB1364" s="76"/>
      <c r="SZC1364" s="76"/>
      <c r="SZD1364" s="76"/>
      <c r="SZE1364" s="76"/>
      <c r="SZF1364" s="76"/>
      <c r="SZG1364" s="76"/>
      <c r="SZH1364" s="76"/>
      <c r="SZI1364" s="76"/>
      <c r="SZJ1364" s="76"/>
      <c r="SZK1364" s="76"/>
      <c r="SZL1364" s="76"/>
      <c r="SZM1364" s="76"/>
      <c r="SZN1364" s="76"/>
      <c r="SZO1364" s="76"/>
      <c r="SZP1364" s="76"/>
      <c r="SZQ1364" s="76"/>
      <c r="SZR1364" s="76"/>
      <c r="SZS1364" s="76"/>
      <c r="SZT1364" s="76"/>
      <c r="SZU1364" s="76"/>
      <c r="SZV1364" s="76"/>
      <c r="SZW1364" s="76"/>
      <c r="SZX1364" s="76"/>
      <c r="SZY1364" s="76"/>
      <c r="SZZ1364" s="76"/>
      <c r="TAA1364" s="76"/>
      <c r="TAB1364" s="76"/>
      <c r="TAC1364" s="76"/>
      <c r="TAD1364" s="76"/>
      <c r="TAE1364" s="76"/>
      <c r="TAF1364" s="76"/>
      <c r="TAG1364" s="76"/>
      <c r="TAH1364" s="76"/>
      <c r="TAI1364" s="76"/>
      <c r="TAJ1364" s="76"/>
      <c r="TAK1364" s="76"/>
      <c r="TAL1364" s="76"/>
      <c r="TAM1364" s="76"/>
      <c r="TAN1364" s="76"/>
      <c r="TAO1364" s="76"/>
      <c r="TAP1364" s="76"/>
      <c r="TAQ1364" s="76"/>
      <c r="TAR1364" s="76"/>
      <c r="TAS1364" s="76"/>
      <c r="TAT1364" s="76"/>
      <c r="TAU1364" s="76"/>
      <c r="TAV1364" s="76"/>
      <c r="TAW1364" s="76"/>
      <c r="TAX1364" s="76"/>
      <c r="TAY1364" s="76"/>
      <c r="TAZ1364" s="76"/>
      <c r="TBA1364" s="50"/>
      <c r="TBB1364" s="76"/>
      <c r="TBC1364" s="76"/>
      <c r="TBD1364" s="76"/>
      <c r="TBE1364" s="76"/>
      <c r="TBF1364" s="76"/>
      <c r="TBG1364" s="76"/>
      <c r="TBH1364" s="76"/>
      <c r="TBI1364" s="76"/>
      <c r="TBJ1364" s="76"/>
      <c r="TBK1364" s="76"/>
      <c r="TBL1364" s="76"/>
      <c r="TBM1364" s="76"/>
      <c r="TBN1364" s="76"/>
      <c r="TBO1364" s="76"/>
      <c r="TBP1364" s="76"/>
      <c r="TBQ1364" s="76"/>
      <c r="TBR1364" s="76"/>
      <c r="TBS1364" s="76"/>
      <c r="TBT1364" s="76"/>
      <c r="TBU1364" s="76"/>
      <c r="TBV1364" s="76"/>
      <c r="TBW1364" s="76"/>
      <c r="TBX1364" s="76"/>
      <c r="TBY1364" s="76"/>
      <c r="TBZ1364" s="76"/>
      <c r="TCA1364" s="76"/>
      <c r="TCB1364" s="76"/>
      <c r="TCC1364" s="76"/>
      <c r="TCD1364" s="76"/>
      <c r="TCE1364" s="76"/>
      <c r="TCF1364" s="76"/>
      <c r="TCG1364" s="76"/>
      <c r="TCH1364" s="76"/>
      <c r="TCI1364" s="76"/>
      <c r="TCJ1364" s="76"/>
      <c r="TCK1364" s="76"/>
      <c r="TCL1364" s="76"/>
      <c r="TCM1364" s="76"/>
      <c r="TCN1364" s="76"/>
      <c r="TCO1364" s="76"/>
      <c r="TCP1364" s="76"/>
      <c r="TCQ1364" s="76"/>
      <c r="TCR1364" s="76"/>
      <c r="TCS1364" s="76"/>
      <c r="TCT1364" s="76"/>
      <c r="TCU1364" s="76"/>
      <c r="TCV1364" s="76"/>
      <c r="TCW1364" s="76"/>
      <c r="TCX1364" s="76"/>
      <c r="TCY1364" s="76"/>
      <c r="TCZ1364" s="76"/>
      <c r="TDA1364" s="76"/>
      <c r="TDB1364" s="76"/>
      <c r="TDC1364" s="76"/>
      <c r="TDD1364" s="76"/>
      <c r="TDE1364" s="76"/>
      <c r="TDF1364" s="76"/>
      <c r="TDG1364" s="76"/>
      <c r="TDH1364" s="76"/>
      <c r="TDI1364" s="76"/>
      <c r="TDJ1364" s="76"/>
      <c r="TDK1364" s="76"/>
      <c r="TDL1364" s="76"/>
      <c r="TDM1364" s="76"/>
      <c r="TDN1364" s="76"/>
      <c r="TDO1364" s="76"/>
      <c r="TDP1364" s="76"/>
      <c r="TDQ1364" s="76"/>
      <c r="TDR1364" s="76"/>
      <c r="TDS1364" s="76"/>
      <c r="TDT1364" s="76"/>
      <c r="TDU1364" s="76"/>
      <c r="TDV1364" s="76"/>
      <c r="TDW1364" s="76"/>
      <c r="TDX1364" s="76"/>
      <c r="TDY1364" s="76"/>
      <c r="TDZ1364" s="76"/>
      <c r="TEA1364" s="76"/>
      <c r="TEB1364" s="76"/>
      <c r="TEC1364" s="76"/>
      <c r="TED1364" s="76"/>
      <c r="TEE1364" s="76"/>
      <c r="TEF1364" s="76"/>
      <c r="TEG1364" s="76"/>
      <c r="TEH1364" s="76"/>
      <c r="TEI1364" s="76"/>
      <c r="TEJ1364" s="76"/>
      <c r="TEK1364" s="76"/>
      <c r="TEL1364" s="76"/>
      <c r="TEM1364" s="76"/>
      <c r="TEN1364" s="76"/>
      <c r="TEO1364" s="76"/>
      <c r="TEP1364" s="76"/>
      <c r="TEQ1364" s="76"/>
      <c r="TER1364" s="76"/>
      <c r="TES1364" s="76"/>
      <c r="TET1364" s="76"/>
      <c r="TEU1364" s="76"/>
      <c r="TEV1364" s="76"/>
      <c r="TEW1364" s="76"/>
      <c r="TEX1364" s="76"/>
      <c r="TEY1364" s="76"/>
      <c r="TEZ1364" s="76"/>
      <c r="TFA1364" s="76"/>
      <c r="TFB1364" s="76"/>
      <c r="TFC1364" s="76"/>
      <c r="TFD1364" s="76"/>
      <c r="TFE1364" s="76"/>
      <c r="TFF1364" s="76"/>
      <c r="TFG1364" s="76"/>
      <c r="TFH1364" s="76"/>
      <c r="TFI1364" s="76"/>
      <c r="TFJ1364" s="76"/>
      <c r="TFK1364" s="76"/>
      <c r="TFL1364" s="76"/>
      <c r="TFM1364" s="76"/>
      <c r="TFN1364" s="76"/>
      <c r="TFO1364" s="76"/>
      <c r="TFP1364" s="76"/>
      <c r="TFQ1364" s="76"/>
      <c r="TFR1364" s="76"/>
      <c r="TFS1364" s="76"/>
      <c r="TFT1364" s="76"/>
      <c r="TFU1364" s="76"/>
      <c r="TFV1364" s="76"/>
      <c r="TFW1364" s="76"/>
      <c r="TFX1364" s="76"/>
      <c r="TFY1364" s="76"/>
      <c r="TFZ1364" s="76"/>
      <c r="TGA1364" s="76"/>
      <c r="TGB1364" s="76"/>
      <c r="TGC1364" s="76"/>
      <c r="TGD1364" s="76"/>
      <c r="TGE1364" s="76"/>
      <c r="TGF1364" s="76"/>
      <c r="TGG1364" s="76"/>
      <c r="TGH1364" s="76"/>
      <c r="TGI1364" s="76"/>
      <c r="TGJ1364" s="76"/>
      <c r="TGK1364" s="76"/>
      <c r="TGL1364" s="76"/>
      <c r="TGM1364" s="76"/>
      <c r="TGN1364" s="76"/>
      <c r="TGO1364" s="76"/>
      <c r="TGP1364" s="76"/>
      <c r="TGQ1364" s="76"/>
      <c r="TGR1364" s="76"/>
      <c r="TGS1364" s="76"/>
      <c r="TGT1364" s="76"/>
      <c r="TGU1364" s="76"/>
      <c r="TGV1364" s="76"/>
      <c r="TGW1364" s="76"/>
      <c r="TGX1364" s="76"/>
      <c r="TGY1364" s="76"/>
      <c r="TGZ1364" s="76"/>
      <c r="THA1364" s="76"/>
      <c r="THB1364" s="76"/>
      <c r="THC1364" s="76"/>
      <c r="THD1364" s="76"/>
      <c r="THE1364" s="76"/>
      <c r="THF1364" s="76"/>
      <c r="THG1364" s="76"/>
      <c r="THH1364" s="76"/>
      <c r="THI1364" s="76"/>
      <c r="THJ1364" s="76"/>
      <c r="THK1364" s="76"/>
      <c r="THL1364" s="76"/>
      <c r="THM1364" s="76"/>
      <c r="THN1364" s="76"/>
      <c r="THO1364" s="76"/>
      <c r="THP1364" s="76"/>
      <c r="THQ1364" s="76"/>
      <c r="THR1364" s="76"/>
      <c r="THS1364" s="76"/>
      <c r="THT1364" s="76"/>
      <c r="THU1364" s="76"/>
      <c r="THV1364" s="76"/>
      <c r="THW1364" s="76"/>
      <c r="THX1364" s="76"/>
      <c r="THY1364" s="76"/>
      <c r="THZ1364" s="76"/>
      <c r="TIA1364" s="76"/>
      <c r="TIB1364" s="76"/>
      <c r="TIC1364" s="76"/>
      <c r="TID1364" s="76"/>
      <c r="TIE1364" s="76"/>
      <c r="TIF1364" s="76"/>
      <c r="TIG1364" s="76"/>
      <c r="TIH1364" s="76"/>
      <c r="TII1364" s="76"/>
      <c r="TIJ1364" s="76"/>
      <c r="TIK1364" s="76"/>
      <c r="TIL1364" s="76"/>
      <c r="TIM1364" s="76"/>
      <c r="TIN1364" s="76"/>
      <c r="TIO1364" s="76"/>
      <c r="TIP1364" s="76"/>
      <c r="TIQ1364" s="76"/>
      <c r="TIR1364" s="76"/>
      <c r="TIS1364" s="76"/>
      <c r="TIT1364" s="76"/>
      <c r="TIU1364" s="76"/>
      <c r="TIV1364" s="76"/>
      <c r="TIW1364" s="76"/>
      <c r="TIX1364" s="76"/>
      <c r="TIY1364" s="76"/>
      <c r="TIZ1364" s="76"/>
      <c r="TJA1364" s="76"/>
      <c r="TJB1364" s="76"/>
      <c r="TJC1364" s="76"/>
      <c r="TJD1364" s="76"/>
      <c r="TJE1364" s="76"/>
      <c r="TJF1364" s="76"/>
      <c r="TJG1364" s="76"/>
      <c r="TJH1364" s="76"/>
      <c r="TJI1364" s="76"/>
      <c r="TJJ1364" s="76"/>
      <c r="TJK1364" s="76"/>
      <c r="TJL1364" s="76"/>
      <c r="TJM1364" s="76"/>
      <c r="TJN1364" s="76"/>
      <c r="TJO1364" s="76"/>
      <c r="TJP1364" s="76"/>
      <c r="TJQ1364" s="76"/>
      <c r="TJR1364" s="76"/>
      <c r="TJS1364" s="76"/>
      <c r="TJT1364" s="76"/>
      <c r="TJU1364" s="76"/>
      <c r="TJV1364" s="76"/>
      <c r="TJW1364" s="76"/>
      <c r="TJX1364" s="76"/>
      <c r="TJY1364" s="76"/>
      <c r="TJZ1364" s="76"/>
      <c r="TKA1364" s="76"/>
      <c r="TKB1364" s="76"/>
      <c r="TKC1364" s="76"/>
      <c r="TKD1364" s="76"/>
      <c r="TKE1364" s="76"/>
      <c r="TKF1364" s="76"/>
      <c r="TKG1364" s="76"/>
      <c r="TKH1364" s="76"/>
      <c r="TKI1364" s="76"/>
      <c r="TKJ1364" s="76"/>
      <c r="TKK1364" s="76"/>
      <c r="TKL1364" s="76"/>
      <c r="TKM1364" s="76"/>
      <c r="TKN1364" s="76"/>
      <c r="TKO1364" s="76"/>
      <c r="TKP1364" s="76"/>
      <c r="TKQ1364" s="76"/>
      <c r="TKR1364" s="76"/>
      <c r="TKS1364" s="76"/>
      <c r="TKT1364" s="76"/>
      <c r="TKU1364" s="76"/>
      <c r="TKV1364" s="76"/>
      <c r="TKW1364" s="50"/>
      <c r="TKX1364" s="76"/>
      <c r="TKY1364" s="76"/>
      <c r="TKZ1364" s="76"/>
      <c r="TLA1364" s="76"/>
      <c r="TLB1364" s="76"/>
      <c r="TLC1364" s="76"/>
      <c r="TLD1364" s="76"/>
      <c r="TLE1364" s="76"/>
      <c r="TLF1364" s="76"/>
      <c r="TLG1364" s="76"/>
      <c r="TLH1364" s="76"/>
      <c r="TLI1364" s="76"/>
      <c r="TLJ1364" s="76"/>
      <c r="TLK1364" s="76"/>
      <c r="TLL1364" s="76"/>
      <c r="TLM1364" s="76"/>
      <c r="TLN1364" s="76"/>
      <c r="TLO1364" s="76"/>
      <c r="TLP1364" s="76"/>
      <c r="TLQ1364" s="76"/>
      <c r="TLR1364" s="76"/>
      <c r="TLS1364" s="76"/>
      <c r="TLT1364" s="76"/>
      <c r="TLU1364" s="76"/>
      <c r="TLV1364" s="76"/>
      <c r="TLW1364" s="76"/>
      <c r="TLX1364" s="76"/>
      <c r="TLY1364" s="76"/>
      <c r="TLZ1364" s="76"/>
      <c r="TMA1364" s="76"/>
      <c r="TMB1364" s="76"/>
      <c r="TMC1364" s="76"/>
      <c r="TMD1364" s="76"/>
      <c r="TME1364" s="76"/>
      <c r="TMF1364" s="76"/>
      <c r="TMG1364" s="76"/>
      <c r="TMH1364" s="76"/>
      <c r="TMI1364" s="76"/>
      <c r="TMJ1364" s="76"/>
      <c r="TMK1364" s="76"/>
      <c r="TML1364" s="76"/>
      <c r="TMM1364" s="76"/>
      <c r="TMN1364" s="76"/>
      <c r="TMO1364" s="76"/>
      <c r="TMP1364" s="76"/>
      <c r="TMQ1364" s="76"/>
      <c r="TMR1364" s="76"/>
      <c r="TMS1364" s="76"/>
      <c r="TMT1364" s="76"/>
      <c r="TMU1364" s="76"/>
      <c r="TMV1364" s="76"/>
      <c r="TMW1364" s="76"/>
      <c r="TMX1364" s="76"/>
      <c r="TMY1364" s="76"/>
      <c r="TMZ1364" s="76"/>
      <c r="TNA1364" s="76"/>
      <c r="TNB1364" s="76"/>
      <c r="TNC1364" s="76"/>
      <c r="TND1364" s="76"/>
      <c r="TNE1364" s="76"/>
      <c r="TNF1364" s="76"/>
      <c r="TNG1364" s="76"/>
      <c r="TNH1364" s="76"/>
      <c r="TNI1364" s="76"/>
      <c r="TNJ1364" s="76"/>
      <c r="TNK1364" s="76"/>
      <c r="TNL1364" s="76"/>
      <c r="TNM1364" s="76"/>
      <c r="TNN1364" s="76"/>
      <c r="TNO1364" s="76"/>
      <c r="TNP1364" s="76"/>
      <c r="TNQ1364" s="76"/>
      <c r="TNR1364" s="76"/>
      <c r="TNS1364" s="76"/>
      <c r="TNT1364" s="76"/>
      <c r="TNU1364" s="76"/>
      <c r="TNV1364" s="76"/>
      <c r="TNW1364" s="76"/>
      <c r="TNX1364" s="76"/>
      <c r="TNY1364" s="76"/>
      <c r="TNZ1364" s="76"/>
      <c r="TOA1364" s="76"/>
      <c r="TOB1364" s="76"/>
      <c r="TOC1364" s="76"/>
      <c r="TOD1364" s="76"/>
      <c r="TOE1364" s="76"/>
      <c r="TOF1364" s="76"/>
      <c r="TOG1364" s="76"/>
      <c r="TOH1364" s="76"/>
      <c r="TOI1364" s="76"/>
      <c r="TOJ1364" s="76"/>
      <c r="TOK1364" s="76"/>
      <c r="TOL1364" s="76"/>
      <c r="TOM1364" s="76"/>
      <c r="TON1364" s="76"/>
      <c r="TOO1364" s="76"/>
      <c r="TOP1364" s="76"/>
      <c r="TOQ1364" s="76"/>
      <c r="TOR1364" s="76"/>
      <c r="TOS1364" s="76"/>
      <c r="TOT1364" s="76"/>
      <c r="TOU1364" s="76"/>
      <c r="TOV1364" s="76"/>
      <c r="TOW1364" s="76"/>
      <c r="TOX1364" s="76"/>
      <c r="TOY1364" s="76"/>
      <c r="TOZ1364" s="76"/>
      <c r="TPA1364" s="76"/>
      <c r="TPB1364" s="76"/>
      <c r="TPC1364" s="76"/>
      <c r="TPD1364" s="76"/>
      <c r="TPE1364" s="76"/>
      <c r="TPF1364" s="76"/>
      <c r="TPG1364" s="76"/>
      <c r="TPH1364" s="76"/>
      <c r="TPI1364" s="76"/>
      <c r="TPJ1364" s="76"/>
      <c r="TPK1364" s="76"/>
      <c r="TPL1364" s="76"/>
      <c r="TPM1364" s="76"/>
      <c r="TPN1364" s="76"/>
      <c r="TPO1364" s="76"/>
      <c r="TPP1364" s="76"/>
      <c r="TPQ1364" s="76"/>
      <c r="TPR1364" s="76"/>
      <c r="TPS1364" s="76"/>
      <c r="TPT1364" s="76"/>
      <c r="TPU1364" s="76"/>
      <c r="TPV1364" s="76"/>
      <c r="TPW1364" s="76"/>
      <c r="TPX1364" s="76"/>
      <c r="TPY1364" s="76"/>
      <c r="TPZ1364" s="76"/>
      <c r="TQA1364" s="76"/>
      <c r="TQB1364" s="76"/>
      <c r="TQC1364" s="76"/>
      <c r="TQD1364" s="76"/>
      <c r="TQE1364" s="76"/>
      <c r="TQF1364" s="76"/>
      <c r="TQG1364" s="76"/>
      <c r="TQH1364" s="76"/>
      <c r="TQI1364" s="76"/>
      <c r="TQJ1364" s="76"/>
      <c r="TQK1364" s="76"/>
      <c r="TQL1364" s="76"/>
      <c r="TQM1364" s="76"/>
      <c r="TQN1364" s="76"/>
      <c r="TQO1364" s="76"/>
      <c r="TQP1364" s="76"/>
      <c r="TQQ1364" s="76"/>
      <c r="TQR1364" s="76"/>
      <c r="TQS1364" s="76"/>
      <c r="TQT1364" s="76"/>
      <c r="TQU1364" s="76"/>
      <c r="TQV1364" s="76"/>
      <c r="TQW1364" s="76"/>
      <c r="TQX1364" s="76"/>
      <c r="TQY1364" s="76"/>
      <c r="TQZ1364" s="76"/>
      <c r="TRA1364" s="76"/>
      <c r="TRB1364" s="76"/>
      <c r="TRC1364" s="76"/>
      <c r="TRD1364" s="76"/>
      <c r="TRE1364" s="76"/>
      <c r="TRF1364" s="76"/>
      <c r="TRG1364" s="76"/>
      <c r="TRH1364" s="76"/>
      <c r="TRI1364" s="76"/>
      <c r="TRJ1364" s="76"/>
      <c r="TRK1364" s="76"/>
      <c r="TRL1364" s="76"/>
      <c r="TRM1364" s="76"/>
      <c r="TRN1364" s="76"/>
      <c r="TRO1364" s="76"/>
      <c r="TRP1364" s="76"/>
      <c r="TRQ1364" s="76"/>
      <c r="TRR1364" s="76"/>
      <c r="TRS1364" s="76"/>
      <c r="TRT1364" s="76"/>
      <c r="TRU1364" s="76"/>
      <c r="TRV1364" s="76"/>
      <c r="TRW1364" s="76"/>
      <c r="TRX1364" s="76"/>
      <c r="TRY1364" s="76"/>
      <c r="TRZ1364" s="76"/>
      <c r="TSA1364" s="76"/>
      <c r="TSB1364" s="76"/>
      <c r="TSC1364" s="76"/>
      <c r="TSD1364" s="76"/>
      <c r="TSE1364" s="76"/>
      <c r="TSF1364" s="76"/>
      <c r="TSG1364" s="76"/>
      <c r="TSH1364" s="76"/>
      <c r="TSI1364" s="76"/>
      <c r="TSJ1364" s="76"/>
      <c r="TSK1364" s="76"/>
      <c r="TSL1364" s="76"/>
      <c r="TSM1364" s="76"/>
      <c r="TSN1364" s="76"/>
      <c r="TSO1364" s="76"/>
      <c r="TSP1364" s="76"/>
      <c r="TSQ1364" s="76"/>
      <c r="TSR1364" s="76"/>
      <c r="TSS1364" s="76"/>
      <c r="TST1364" s="76"/>
      <c r="TSU1364" s="76"/>
      <c r="TSV1364" s="76"/>
      <c r="TSW1364" s="76"/>
      <c r="TSX1364" s="76"/>
      <c r="TSY1364" s="76"/>
      <c r="TSZ1364" s="76"/>
      <c r="TTA1364" s="76"/>
      <c r="TTB1364" s="76"/>
      <c r="TTC1364" s="76"/>
      <c r="TTD1364" s="76"/>
      <c r="TTE1364" s="76"/>
      <c r="TTF1364" s="76"/>
      <c r="TTG1364" s="76"/>
      <c r="TTH1364" s="76"/>
      <c r="TTI1364" s="76"/>
      <c r="TTJ1364" s="76"/>
      <c r="TTK1364" s="76"/>
      <c r="TTL1364" s="76"/>
      <c r="TTM1364" s="76"/>
      <c r="TTN1364" s="76"/>
      <c r="TTO1364" s="76"/>
      <c r="TTP1364" s="76"/>
      <c r="TTQ1364" s="76"/>
      <c r="TTR1364" s="76"/>
      <c r="TTS1364" s="76"/>
      <c r="TTT1364" s="76"/>
      <c r="TTU1364" s="76"/>
      <c r="TTV1364" s="76"/>
      <c r="TTW1364" s="76"/>
      <c r="TTX1364" s="76"/>
      <c r="TTY1364" s="76"/>
      <c r="TTZ1364" s="76"/>
      <c r="TUA1364" s="76"/>
      <c r="TUB1364" s="76"/>
      <c r="TUC1364" s="76"/>
      <c r="TUD1364" s="76"/>
      <c r="TUE1364" s="76"/>
      <c r="TUF1364" s="76"/>
      <c r="TUG1364" s="76"/>
      <c r="TUH1364" s="76"/>
      <c r="TUI1364" s="76"/>
      <c r="TUJ1364" s="76"/>
      <c r="TUK1364" s="76"/>
      <c r="TUL1364" s="76"/>
      <c r="TUM1364" s="76"/>
      <c r="TUN1364" s="76"/>
      <c r="TUO1364" s="76"/>
      <c r="TUP1364" s="76"/>
      <c r="TUQ1364" s="76"/>
      <c r="TUR1364" s="76"/>
      <c r="TUS1364" s="50"/>
      <c r="TUT1364" s="76"/>
      <c r="TUU1364" s="76"/>
      <c r="TUV1364" s="76"/>
      <c r="TUW1364" s="76"/>
      <c r="TUX1364" s="76"/>
      <c r="TUY1364" s="76"/>
      <c r="TUZ1364" s="76"/>
      <c r="TVA1364" s="76"/>
      <c r="TVB1364" s="76"/>
      <c r="TVC1364" s="76"/>
      <c r="TVD1364" s="76"/>
      <c r="TVE1364" s="76"/>
      <c r="TVF1364" s="76"/>
      <c r="TVG1364" s="76"/>
      <c r="TVH1364" s="76"/>
      <c r="TVI1364" s="76"/>
      <c r="TVJ1364" s="76"/>
      <c r="TVK1364" s="76"/>
      <c r="TVL1364" s="76"/>
      <c r="TVM1364" s="76"/>
      <c r="TVN1364" s="76"/>
      <c r="TVO1364" s="76"/>
      <c r="TVP1364" s="76"/>
      <c r="TVQ1364" s="76"/>
      <c r="TVR1364" s="76"/>
      <c r="TVS1364" s="76"/>
      <c r="TVT1364" s="76"/>
      <c r="TVU1364" s="76"/>
      <c r="TVV1364" s="76"/>
      <c r="TVW1364" s="76"/>
      <c r="TVX1364" s="76"/>
      <c r="TVY1364" s="76"/>
      <c r="TVZ1364" s="76"/>
      <c r="TWA1364" s="76"/>
      <c r="TWB1364" s="76"/>
      <c r="TWC1364" s="76"/>
      <c r="TWD1364" s="76"/>
      <c r="TWE1364" s="76"/>
      <c r="TWF1364" s="76"/>
      <c r="TWG1364" s="76"/>
      <c r="TWH1364" s="76"/>
      <c r="TWI1364" s="76"/>
      <c r="TWJ1364" s="76"/>
      <c r="TWK1364" s="76"/>
      <c r="TWL1364" s="76"/>
      <c r="TWM1364" s="76"/>
      <c r="TWN1364" s="76"/>
      <c r="TWO1364" s="76"/>
      <c r="TWP1364" s="76"/>
      <c r="TWQ1364" s="76"/>
      <c r="TWR1364" s="76"/>
      <c r="TWS1364" s="76"/>
      <c r="TWT1364" s="76"/>
      <c r="TWU1364" s="76"/>
      <c r="TWV1364" s="76"/>
      <c r="TWW1364" s="76"/>
      <c r="TWX1364" s="76"/>
      <c r="TWY1364" s="76"/>
      <c r="TWZ1364" s="76"/>
      <c r="TXA1364" s="76"/>
      <c r="TXB1364" s="76"/>
      <c r="TXC1364" s="76"/>
      <c r="TXD1364" s="76"/>
      <c r="TXE1364" s="76"/>
      <c r="TXF1364" s="76"/>
      <c r="TXG1364" s="76"/>
      <c r="TXH1364" s="76"/>
      <c r="TXI1364" s="76"/>
      <c r="TXJ1364" s="76"/>
      <c r="TXK1364" s="76"/>
      <c r="TXL1364" s="76"/>
      <c r="TXM1364" s="76"/>
      <c r="TXN1364" s="76"/>
      <c r="TXO1364" s="76"/>
      <c r="TXP1364" s="76"/>
      <c r="TXQ1364" s="76"/>
      <c r="TXR1364" s="76"/>
      <c r="TXS1364" s="76"/>
      <c r="TXT1364" s="76"/>
      <c r="TXU1364" s="76"/>
      <c r="TXV1364" s="76"/>
      <c r="TXW1364" s="76"/>
      <c r="TXX1364" s="76"/>
      <c r="TXY1364" s="76"/>
      <c r="TXZ1364" s="76"/>
      <c r="TYA1364" s="76"/>
      <c r="TYB1364" s="76"/>
      <c r="TYC1364" s="76"/>
      <c r="TYD1364" s="76"/>
      <c r="TYE1364" s="76"/>
      <c r="TYF1364" s="76"/>
      <c r="TYG1364" s="76"/>
      <c r="TYH1364" s="76"/>
      <c r="TYI1364" s="76"/>
      <c r="TYJ1364" s="76"/>
      <c r="TYK1364" s="76"/>
      <c r="TYL1364" s="76"/>
      <c r="TYM1364" s="76"/>
      <c r="TYN1364" s="76"/>
      <c r="TYO1364" s="76"/>
      <c r="TYP1364" s="76"/>
      <c r="TYQ1364" s="76"/>
      <c r="TYR1364" s="76"/>
      <c r="TYS1364" s="76"/>
      <c r="TYT1364" s="76"/>
      <c r="TYU1364" s="76"/>
      <c r="TYV1364" s="76"/>
      <c r="TYW1364" s="76"/>
      <c r="TYX1364" s="76"/>
      <c r="TYY1364" s="76"/>
      <c r="TYZ1364" s="76"/>
      <c r="TZA1364" s="76"/>
      <c r="TZB1364" s="76"/>
      <c r="TZC1364" s="76"/>
      <c r="TZD1364" s="76"/>
      <c r="TZE1364" s="76"/>
      <c r="TZF1364" s="76"/>
      <c r="TZG1364" s="76"/>
      <c r="TZH1364" s="76"/>
      <c r="TZI1364" s="76"/>
      <c r="TZJ1364" s="76"/>
      <c r="TZK1364" s="76"/>
      <c r="TZL1364" s="76"/>
      <c r="TZM1364" s="76"/>
      <c r="TZN1364" s="76"/>
      <c r="TZO1364" s="76"/>
      <c r="TZP1364" s="76"/>
      <c r="TZQ1364" s="76"/>
      <c r="TZR1364" s="76"/>
      <c r="TZS1364" s="76"/>
      <c r="TZT1364" s="76"/>
      <c r="TZU1364" s="76"/>
      <c r="TZV1364" s="76"/>
      <c r="TZW1364" s="76"/>
      <c r="TZX1364" s="76"/>
      <c r="TZY1364" s="76"/>
      <c r="TZZ1364" s="76"/>
      <c r="UAA1364" s="76"/>
      <c r="UAB1364" s="76"/>
      <c r="UAC1364" s="76"/>
      <c r="UAD1364" s="76"/>
      <c r="UAE1364" s="76"/>
      <c r="UAF1364" s="76"/>
      <c r="UAG1364" s="76"/>
      <c r="UAH1364" s="76"/>
      <c r="UAI1364" s="76"/>
      <c r="UAJ1364" s="76"/>
      <c r="UAK1364" s="76"/>
      <c r="UAL1364" s="76"/>
      <c r="UAM1364" s="76"/>
      <c r="UAN1364" s="76"/>
      <c r="UAO1364" s="76"/>
      <c r="UAP1364" s="76"/>
      <c r="UAQ1364" s="76"/>
      <c r="UAR1364" s="76"/>
      <c r="UAS1364" s="76"/>
      <c r="UAT1364" s="76"/>
      <c r="UAU1364" s="76"/>
      <c r="UAV1364" s="76"/>
      <c r="UAW1364" s="76"/>
      <c r="UAX1364" s="76"/>
      <c r="UAY1364" s="76"/>
      <c r="UAZ1364" s="76"/>
      <c r="UBA1364" s="76"/>
      <c r="UBB1364" s="76"/>
      <c r="UBC1364" s="76"/>
      <c r="UBD1364" s="76"/>
      <c r="UBE1364" s="76"/>
      <c r="UBF1364" s="76"/>
      <c r="UBG1364" s="76"/>
      <c r="UBH1364" s="76"/>
      <c r="UBI1364" s="76"/>
      <c r="UBJ1364" s="76"/>
      <c r="UBK1364" s="76"/>
      <c r="UBL1364" s="76"/>
      <c r="UBM1364" s="76"/>
      <c r="UBN1364" s="76"/>
      <c r="UBO1364" s="76"/>
      <c r="UBP1364" s="76"/>
      <c r="UBQ1364" s="76"/>
      <c r="UBR1364" s="76"/>
      <c r="UBS1364" s="76"/>
      <c r="UBT1364" s="76"/>
      <c r="UBU1364" s="76"/>
      <c r="UBV1364" s="76"/>
      <c r="UBW1364" s="76"/>
      <c r="UBX1364" s="76"/>
      <c r="UBY1364" s="76"/>
      <c r="UBZ1364" s="76"/>
      <c r="UCA1364" s="76"/>
      <c r="UCB1364" s="76"/>
      <c r="UCC1364" s="76"/>
      <c r="UCD1364" s="76"/>
      <c r="UCE1364" s="76"/>
      <c r="UCF1364" s="76"/>
      <c r="UCG1364" s="76"/>
      <c r="UCH1364" s="76"/>
      <c r="UCI1364" s="76"/>
      <c r="UCJ1364" s="76"/>
      <c r="UCK1364" s="76"/>
      <c r="UCL1364" s="76"/>
      <c r="UCM1364" s="76"/>
      <c r="UCN1364" s="76"/>
      <c r="UCO1364" s="76"/>
      <c r="UCP1364" s="76"/>
      <c r="UCQ1364" s="76"/>
      <c r="UCR1364" s="76"/>
      <c r="UCS1364" s="76"/>
      <c r="UCT1364" s="76"/>
      <c r="UCU1364" s="76"/>
      <c r="UCV1364" s="76"/>
      <c r="UCW1364" s="76"/>
      <c r="UCX1364" s="76"/>
      <c r="UCY1364" s="76"/>
      <c r="UCZ1364" s="76"/>
      <c r="UDA1364" s="76"/>
      <c r="UDB1364" s="76"/>
      <c r="UDC1364" s="76"/>
      <c r="UDD1364" s="76"/>
      <c r="UDE1364" s="76"/>
      <c r="UDF1364" s="76"/>
      <c r="UDG1364" s="76"/>
      <c r="UDH1364" s="76"/>
      <c r="UDI1364" s="76"/>
      <c r="UDJ1364" s="76"/>
      <c r="UDK1364" s="76"/>
      <c r="UDL1364" s="76"/>
      <c r="UDM1364" s="76"/>
      <c r="UDN1364" s="76"/>
      <c r="UDO1364" s="76"/>
      <c r="UDP1364" s="76"/>
      <c r="UDQ1364" s="76"/>
      <c r="UDR1364" s="76"/>
      <c r="UDS1364" s="76"/>
      <c r="UDT1364" s="76"/>
      <c r="UDU1364" s="76"/>
      <c r="UDV1364" s="76"/>
      <c r="UDW1364" s="76"/>
      <c r="UDX1364" s="76"/>
      <c r="UDY1364" s="76"/>
      <c r="UDZ1364" s="76"/>
      <c r="UEA1364" s="76"/>
      <c r="UEB1364" s="76"/>
      <c r="UEC1364" s="76"/>
      <c r="UED1364" s="76"/>
      <c r="UEE1364" s="76"/>
      <c r="UEF1364" s="76"/>
      <c r="UEG1364" s="76"/>
      <c r="UEH1364" s="76"/>
      <c r="UEI1364" s="76"/>
      <c r="UEJ1364" s="76"/>
      <c r="UEK1364" s="76"/>
      <c r="UEL1364" s="76"/>
      <c r="UEM1364" s="76"/>
      <c r="UEN1364" s="76"/>
      <c r="UEO1364" s="50"/>
      <c r="UEP1364" s="76"/>
      <c r="UEQ1364" s="76"/>
      <c r="UER1364" s="76"/>
      <c r="UES1364" s="76"/>
      <c r="UET1364" s="76"/>
      <c r="UEU1364" s="76"/>
      <c r="UEV1364" s="76"/>
      <c r="UEW1364" s="76"/>
      <c r="UEX1364" s="76"/>
      <c r="UEY1364" s="76"/>
      <c r="UEZ1364" s="76"/>
      <c r="UFA1364" s="76"/>
      <c r="UFB1364" s="76"/>
      <c r="UFC1364" s="76"/>
      <c r="UFD1364" s="76"/>
      <c r="UFE1364" s="76"/>
      <c r="UFF1364" s="76"/>
      <c r="UFG1364" s="76"/>
      <c r="UFH1364" s="76"/>
      <c r="UFI1364" s="76"/>
      <c r="UFJ1364" s="76"/>
      <c r="UFK1364" s="76"/>
      <c r="UFL1364" s="76"/>
      <c r="UFM1364" s="76"/>
      <c r="UFN1364" s="76"/>
      <c r="UFO1364" s="76"/>
      <c r="UFP1364" s="76"/>
      <c r="UFQ1364" s="76"/>
      <c r="UFR1364" s="76"/>
      <c r="UFS1364" s="76"/>
      <c r="UFT1364" s="76"/>
      <c r="UFU1364" s="76"/>
      <c r="UFV1364" s="76"/>
      <c r="UFW1364" s="76"/>
      <c r="UFX1364" s="76"/>
      <c r="UFY1364" s="76"/>
      <c r="UFZ1364" s="76"/>
      <c r="UGA1364" s="76"/>
      <c r="UGB1364" s="76"/>
      <c r="UGC1364" s="76"/>
      <c r="UGD1364" s="76"/>
      <c r="UGE1364" s="76"/>
      <c r="UGF1364" s="76"/>
      <c r="UGG1364" s="76"/>
      <c r="UGH1364" s="76"/>
      <c r="UGI1364" s="76"/>
      <c r="UGJ1364" s="76"/>
      <c r="UGK1364" s="76"/>
      <c r="UGL1364" s="76"/>
      <c r="UGM1364" s="76"/>
      <c r="UGN1364" s="76"/>
      <c r="UGO1364" s="76"/>
      <c r="UGP1364" s="76"/>
      <c r="UGQ1364" s="76"/>
      <c r="UGR1364" s="76"/>
      <c r="UGS1364" s="76"/>
      <c r="UGT1364" s="76"/>
      <c r="UGU1364" s="76"/>
      <c r="UGV1364" s="76"/>
      <c r="UGW1364" s="76"/>
      <c r="UGX1364" s="76"/>
      <c r="UGY1364" s="76"/>
      <c r="UGZ1364" s="76"/>
      <c r="UHA1364" s="76"/>
      <c r="UHB1364" s="76"/>
      <c r="UHC1364" s="76"/>
      <c r="UHD1364" s="76"/>
      <c r="UHE1364" s="76"/>
      <c r="UHF1364" s="76"/>
      <c r="UHG1364" s="76"/>
      <c r="UHH1364" s="76"/>
      <c r="UHI1364" s="76"/>
      <c r="UHJ1364" s="76"/>
      <c r="UHK1364" s="76"/>
      <c r="UHL1364" s="76"/>
      <c r="UHM1364" s="76"/>
      <c r="UHN1364" s="76"/>
      <c r="UHO1364" s="76"/>
      <c r="UHP1364" s="76"/>
      <c r="UHQ1364" s="76"/>
      <c r="UHR1364" s="76"/>
      <c r="UHS1364" s="76"/>
      <c r="UHT1364" s="76"/>
      <c r="UHU1364" s="76"/>
      <c r="UHV1364" s="76"/>
      <c r="UHW1364" s="76"/>
      <c r="UHX1364" s="76"/>
      <c r="UHY1364" s="76"/>
      <c r="UHZ1364" s="76"/>
      <c r="UIA1364" s="76"/>
      <c r="UIB1364" s="76"/>
      <c r="UIC1364" s="76"/>
      <c r="UID1364" s="76"/>
      <c r="UIE1364" s="76"/>
      <c r="UIF1364" s="76"/>
      <c r="UIG1364" s="76"/>
      <c r="UIH1364" s="76"/>
      <c r="UII1364" s="76"/>
      <c r="UIJ1364" s="76"/>
      <c r="UIK1364" s="76"/>
      <c r="UIL1364" s="76"/>
      <c r="UIM1364" s="76"/>
      <c r="UIN1364" s="76"/>
      <c r="UIO1364" s="76"/>
      <c r="UIP1364" s="76"/>
      <c r="UIQ1364" s="76"/>
      <c r="UIR1364" s="76"/>
      <c r="UIS1364" s="76"/>
      <c r="UIT1364" s="76"/>
      <c r="UIU1364" s="76"/>
      <c r="UIV1364" s="76"/>
      <c r="UIW1364" s="76"/>
      <c r="UIX1364" s="76"/>
      <c r="UIY1364" s="76"/>
      <c r="UIZ1364" s="76"/>
      <c r="UJA1364" s="76"/>
      <c r="UJB1364" s="76"/>
      <c r="UJC1364" s="76"/>
      <c r="UJD1364" s="76"/>
      <c r="UJE1364" s="76"/>
      <c r="UJF1364" s="76"/>
      <c r="UJG1364" s="76"/>
      <c r="UJH1364" s="76"/>
      <c r="UJI1364" s="76"/>
      <c r="UJJ1364" s="76"/>
      <c r="UJK1364" s="76"/>
      <c r="UJL1364" s="76"/>
      <c r="UJM1364" s="76"/>
      <c r="UJN1364" s="76"/>
      <c r="UJO1364" s="76"/>
      <c r="UJP1364" s="76"/>
      <c r="UJQ1364" s="76"/>
      <c r="UJR1364" s="76"/>
      <c r="UJS1364" s="76"/>
      <c r="UJT1364" s="76"/>
      <c r="UJU1364" s="76"/>
      <c r="UJV1364" s="76"/>
      <c r="UJW1364" s="76"/>
      <c r="UJX1364" s="76"/>
      <c r="UJY1364" s="76"/>
      <c r="UJZ1364" s="76"/>
      <c r="UKA1364" s="76"/>
      <c r="UKB1364" s="76"/>
      <c r="UKC1364" s="76"/>
      <c r="UKD1364" s="76"/>
      <c r="UKE1364" s="76"/>
      <c r="UKF1364" s="76"/>
      <c r="UKG1364" s="76"/>
      <c r="UKH1364" s="76"/>
      <c r="UKI1364" s="76"/>
      <c r="UKJ1364" s="76"/>
      <c r="UKK1364" s="76"/>
      <c r="UKL1364" s="76"/>
      <c r="UKM1364" s="76"/>
      <c r="UKN1364" s="76"/>
      <c r="UKO1364" s="76"/>
      <c r="UKP1364" s="76"/>
      <c r="UKQ1364" s="76"/>
      <c r="UKR1364" s="76"/>
      <c r="UKS1364" s="76"/>
      <c r="UKT1364" s="76"/>
      <c r="UKU1364" s="76"/>
      <c r="UKV1364" s="76"/>
      <c r="UKW1364" s="76"/>
      <c r="UKX1364" s="76"/>
      <c r="UKY1364" s="76"/>
      <c r="UKZ1364" s="76"/>
      <c r="ULA1364" s="76"/>
      <c r="ULB1364" s="76"/>
      <c r="ULC1364" s="76"/>
      <c r="ULD1364" s="76"/>
      <c r="ULE1364" s="76"/>
      <c r="ULF1364" s="76"/>
      <c r="ULG1364" s="76"/>
      <c r="ULH1364" s="76"/>
      <c r="ULI1364" s="76"/>
      <c r="ULJ1364" s="76"/>
      <c r="ULK1364" s="76"/>
      <c r="ULL1364" s="76"/>
      <c r="ULM1364" s="76"/>
      <c r="ULN1364" s="76"/>
      <c r="ULO1364" s="76"/>
      <c r="ULP1364" s="76"/>
      <c r="ULQ1364" s="76"/>
      <c r="ULR1364" s="76"/>
      <c r="ULS1364" s="76"/>
      <c r="ULT1364" s="76"/>
      <c r="ULU1364" s="76"/>
      <c r="ULV1364" s="76"/>
      <c r="ULW1364" s="76"/>
      <c r="ULX1364" s="76"/>
      <c r="ULY1364" s="76"/>
      <c r="ULZ1364" s="76"/>
      <c r="UMA1364" s="76"/>
      <c r="UMB1364" s="76"/>
      <c r="UMC1364" s="76"/>
      <c r="UMD1364" s="76"/>
      <c r="UME1364" s="76"/>
      <c r="UMF1364" s="76"/>
      <c r="UMG1364" s="76"/>
      <c r="UMH1364" s="76"/>
      <c r="UMI1364" s="76"/>
      <c r="UMJ1364" s="76"/>
      <c r="UMK1364" s="76"/>
      <c r="UML1364" s="76"/>
      <c r="UMM1364" s="76"/>
      <c r="UMN1364" s="76"/>
      <c r="UMO1364" s="76"/>
      <c r="UMP1364" s="76"/>
      <c r="UMQ1364" s="76"/>
      <c r="UMR1364" s="76"/>
      <c r="UMS1364" s="76"/>
      <c r="UMT1364" s="76"/>
      <c r="UMU1364" s="76"/>
      <c r="UMV1364" s="76"/>
      <c r="UMW1364" s="76"/>
      <c r="UMX1364" s="76"/>
      <c r="UMY1364" s="76"/>
      <c r="UMZ1364" s="76"/>
      <c r="UNA1364" s="76"/>
      <c r="UNB1364" s="76"/>
      <c r="UNC1364" s="76"/>
      <c r="UND1364" s="76"/>
      <c r="UNE1364" s="76"/>
      <c r="UNF1364" s="76"/>
      <c r="UNG1364" s="76"/>
      <c r="UNH1364" s="76"/>
      <c r="UNI1364" s="76"/>
      <c r="UNJ1364" s="76"/>
      <c r="UNK1364" s="76"/>
      <c r="UNL1364" s="76"/>
      <c r="UNM1364" s="76"/>
      <c r="UNN1364" s="76"/>
      <c r="UNO1364" s="76"/>
      <c r="UNP1364" s="76"/>
      <c r="UNQ1364" s="76"/>
      <c r="UNR1364" s="76"/>
      <c r="UNS1364" s="76"/>
      <c r="UNT1364" s="76"/>
      <c r="UNU1364" s="76"/>
      <c r="UNV1364" s="76"/>
      <c r="UNW1364" s="76"/>
      <c r="UNX1364" s="76"/>
      <c r="UNY1364" s="76"/>
      <c r="UNZ1364" s="76"/>
      <c r="UOA1364" s="76"/>
      <c r="UOB1364" s="76"/>
      <c r="UOC1364" s="76"/>
      <c r="UOD1364" s="76"/>
      <c r="UOE1364" s="76"/>
      <c r="UOF1364" s="76"/>
      <c r="UOG1364" s="76"/>
      <c r="UOH1364" s="76"/>
      <c r="UOI1364" s="76"/>
      <c r="UOJ1364" s="76"/>
      <c r="UOK1364" s="50"/>
      <c r="UOL1364" s="76"/>
      <c r="UOM1364" s="76"/>
      <c r="UON1364" s="76"/>
      <c r="UOO1364" s="76"/>
      <c r="UOP1364" s="76"/>
      <c r="UOQ1364" s="76"/>
      <c r="UOR1364" s="76"/>
      <c r="UOS1364" s="76"/>
      <c r="UOT1364" s="76"/>
      <c r="UOU1364" s="76"/>
      <c r="UOV1364" s="76"/>
      <c r="UOW1364" s="76"/>
      <c r="UOX1364" s="76"/>
      <c r="UOY1364" s="76"/>
      <c r="UOZ1364" s="76"/>
      <c r="UPA1364" s="76"/>
      <c r="UPB1364" s="76"/>
      <c r="UPC1364" s="76"/>
      <c r="UPD1364" s="76"/>
      <c r="UPE1364" s="76"/>
      <c r="UPF1364" s="76"/>
      <c r="UPG1364" s="76"/>
      <c r="UPH1364" s="76"/>
      <c r="UPI1364" s="76"/>
      <c r="UPJ1364" s="76"/>
      <c r="UPK1364" s="76"/>
      <c r="UPL1364" s="76"/>
      <c r="UPM1364" s="76"/>
      <c r="UPN1364" s="76"/>
      <c r="UPO1364" s="76"/>
      <c r="UPP1364" s="76"/>
      <c r="UPQ1364" s="76"/>
      <c r="UPR1364" s="76"/>
      <c r="UPS1364" s="76"/>
      <c r="UPT1364" s="76"/>
      <c r="UPU1364" s="76"/>
      <c r="UPV1364" s="76"/>
      <c r="UPW1364" s="76"/>
      <c r="UPX1364" s="76"/>
      <c r="UPY1364" s="76"/>
      <c r="UPZ1364" s="76"/>
      <c r="UQA1364" s="76"/>
      <c r="UQB1364" s="76"/>
      <c r="UQC1364" s="76"/>
      <c r="UQD1364" s="76"/>
      <c r="UQE1364" s="76"/>
      <c r="UQF1364" s="76"/>
      <c r="UQG1364" s="76"/>
      <c r="UQH1364" s="76"/>
      <c r="UQI1364" s="76"/>
      <c r="UQJ1364" s="76"/>
      <c r="UQK1364" s="76"/>
      <c r="UQL1364" s="76"/>
      <c r="UQM1364" s="76"/>
      <c r="UQN1364" s="76"/>
      <c r="UQO1364" s="76"/>
      <c r="UQP1364" s="76"/>
      <c r="UQQ1364" s="76"/>
      <c r="UQR1364" s="76"/>
      <c r="UQS1364" s="76"/>
      <c r="UQT1364" s="76"/>
      <c r="UQU1364" s="76"/>
      <c r="UQV1364" s="76"/>
      <c r="UQW1364" s="76"/>
      <c r="UQX1364" s="76"/>
      <c r="UQY1364" s="76"/>
      <c r="UQZ1364" s="76"/>
      <c r="URA1364" s="76"/>
      <c r="URB1364" s="76"/>
      <c r="URC1364" s="76"/>
      <c r="URD1364" s="76"/>
      <c r="URE1364" s="76"/>
      <c r="URF1364" s="76"/>
      <c r="URG1364" s="76"/>
      <c r="URH1364" s="76"/>
      <c r="URI1364" s="76"/>
      <c r="URJ1364" s="76"/>
      <c r="URK1364" s="76"/>
      <c r="URL1364" s="76"/>
      <c r="URM1364" s="76"/>
      <c r="URN1364" s="76"/>
      <c r="URO1364" s="76"/>
      <c r="URP1364" s="76"/>
      <c r="URQ1364" s="76"/>
      <c r="URR1364" s="76"/>
      <c r="URS1364" s="76"/>
      <c r="URT1364" s="76"/>
      <c r="URU1364" s="76"/>
      <c r="URV1364" s="76"/>
      <c r="URW1364" s="76"/>
      <c r="URX1364" s="76"/>
      <c r="URY1364" s="76"/>
      <c r="URZ1364" s="76"/>
      <c r="USA1364" s="76"/>
      <c r="USB1364" s="76"/>
      <c r="USC1364" s="76"/>
      <c r="USD1364" s="76"/>
      <c r="USE1364" s="76"/>
      <c r="USF1364" s="76"/>
      <c r="USG1364" s="76"/>
      <c r="USH1364" s="76"/>
      <c r="USI1364" s="76"/>
      <c r="USJ1364" s="76"/>
      <c r="USK1364" s="76"/>
      <c r="USL1364" s="76"/>
      <c r="USM1364" s="76"/>
      <c r="USN1364" s="76"/>
      <c r="USO1364" s="76"/>
      <c r="USP1364" s="76"/>
      <c r="USQ1364" s="76"/>
      <c r="USR1364" s="76"/>
      <c r="USS1364" s="76"/>
      <c r="UST1364" s="76"/>
      <c r="USU1364" s="76"/>
      <c r="USV1364" s="76"/>
      <c r="USW1364" s="76"/>
      <c r="USX1364" s="76"/>
      <c r="USY1364" s="76"/>
      <c r="USZ1364" s="76"/>
      <c r="UTA1364" s="76"/>
      <c r="UTB1364" s="76"/>
      <c r="UTC1364" s="76"/>
      <c r="UTD1364" s="76"/>
      <c r="UTE1364" s="76"/>
      <c r="UTF1364" s="76"/>
      <c r="UTG1364" s="76"/>
      <c r="UTH1364" s="76"/>
      <c r="UTI1364" s="76"/>
      <c r="UTJ1364" s="76"/>
      <c r="UTK1364" s="76"/>
      <c r="UTL1364" s="76"/>
      <c r="UTM1364" s="76"/>
      <c r="UTN1364" s="76"/>
      <c r="UTO1364" s="76"/>
      <c r="UTP1364" s="76"/>
      <c r="UTQ1364" s="76"/>
      <c r="UTR1364" s="76"/>
      <c r="UTS1364" s="76"/>
      <c r="UTT1364" s="76"/>
      <c r="UTU1364" s="76"/>
      <c r="UTV1364" s="76"/>
      <c r="UTW1364" s="76"/>
      <c r="UTX1364" s="76"/>
      <c r="UTY1364" s="76"/>
      <c r="UTZ1364" s="76"/>
      <c r="UUA1364" s="76"/>
      <c r="UUB1364" s="76"/>
      <c r="UUC1364" s="76"/>
      <c r="UUD1364" s="76"/>
      <c r="UUE1364" s="76"/>
      <c r="UUF1364" s="76"/>
      <c r="UUG1364" s="76"/>
      <c r="UUH1364" s="76"/>
      <c r="UUI1364" s="76"/>
      <c r="UUJ1364" s="76"/>
      <c r="UUK1364" s="76"/>
      <c r="UUL1364" s="76"/>
      <c r="UUM1364" s="76"/>
      <c r="UUN1364" s="76"/>
      <c r="UUO1364" s="76"/>
      <c r="UUP1364" s="76"/>
      <c r="UUQ1364" s="76"/>
      <c r="UUR1364" s="76"/>
      <c r="UUS1364" s="76"/>
      <c r="UUT1364" s="76"/>
      <c r="UUU1364" s="76"/>
      <c r="UUV1364" s="76"/>
      <c r="UUW1364" s="76"/>
      <c r="UUX1364" s="76"/>
      <c r="UUY1364" s="76"/>
      <c r="UUZ1364" s="76"/>
      <c r="UVA1364" s="76"/>
      <c r="UVB1364" s="76"/>
      <c r="UVC1364" s="76"/>
      <c r="UVD1364" s="76"/>
      <c r="UVE1364" s="76"/>
      <c r="UVF1364" s="76"/>
      <c r="UVG1364" s="76"/>
      <c r="UVH1364" s="76"/>
      <c r="UVI1364" s="76"/>
      <c r="UVJ1364" s="76"/>
      <c r="UVK1364" s="76"/>
      <c r="UVL1364" s="76"/>
      <c r="UVM1364" s="76"/>
      <c r="UVN1364" s="76"/>
      <c r="UVO1364" s="76"/>
      <c r="UVP1364" s="76"/>
      <c r="UVQ1364" s="76"/>
      <c r="UVR1364" s="76"/>
      <c r="UVS1364" s="76"/>
      <c r="UVT1364" s="76"/>
      <c r="UVU1364" s="76"/>
      <c r="UVV1364" s="76"/>
      <c r="UVW1364" s="76"/>
      <c r="UVX1364" s="76"/>
      <c r="UVY1364" s="76"/>
      <c r="UVZ1364" s="76"/>
      <c r="UWA1364" s="76"/>
      <c r="UWB1364" s="76"/>
      <c r="UWC1364" s="76"/>
      <c r="UWD1364" s="76"/>
      <c r="UWE1364" s="76"/>
      <c r="UWF1364" s="76"/>
      <c r="UWG1364" s="76"/>
      <c r="UWH1364" s="76"/>
      <c r="UWI1364" s="76"/>
      <c r="UWJ1364" s="76"/>
      <c r="UWK1364" s="76"/>
      <c r="UWL1364" s="76"/>
      <c r="UWM1364" s="76"/>
      <c r="UWN1364" s="76"/>
      <c r="UWO1364" s="76"/>
      <c r="UWP1364" s="76"/>
      <c r="UWQ1364" s="76"/>
      <c r="UWR1364" s="76"/>
      <c r="UWS1364" s="76"/>
      <c r="UWT1364" s="76"/>
      <c r="UWU1364" s="76"/>
      <c r="UWV1364" s="76"/>
      <c r="UWW1364" s="76"/>
      <c r="UWX1364" s="76"/>
      <c r="UWY1364" s="76"/>
      <c r="UWZ1364" s="76"/>
      <c r="UXA1364" s="76"/>
      <c r="UXB1364" s="76"/>
      <c r="UXC1364" s="76"/>
      <c r="UXD1364" s="76"/>
      <c r="UXE1364" s="76"/>
      <c r="UXF1364" s="76"/>
      <c r="UXG1364" s="76"/>
      <c r="UXH1364" s="76"/>
      <c r="UXI1364" s="76"/>
      <c r="UXJ1364" s="76"/>
      <c r="UXK1364" s="76"/>
      <c r="UXL1364" s="76"/>
      <c r="UXM1364" s="76"/>
      <c r="UXN1364" s="76"/>
      <c r="UXO1364" s="76"/>
      <c r="UXP1364" s="76"/>
      <c r="UXQ1364" s="76"/>
      <c r="UXR1364" s="76"/>
      <c r="UXS1364" s="76"/>
      <c r="UXT1364" s="76"/>
      <c r="UXU1364" s="76"/>
      <c r="UXV1364" s="76"/>
      <c r="UXW1364" s="76"/>
      <c r="UXX1364" s="76"/>
      <c r="UXY1364" s="76"/>
      <c r="UXZ1364" s="76"/>
      <c r="UYA1364" s="76"/>
      <c r="UYB1364" s="76"/>
      <c r="UYC1364" s="76"/>
      <c r="UYD1364" s="76"/>
      <c r="UYE1364" s="76"/>
      <c r="UYF1364" s="76"/>
      <c r="UYG1364" s="50"/>
      <c r="UYH1364" s="76"/>
      <c r="UYI1364" s="76"/>
      <c r="UYJ1364" s="76"/>
      <c r="UYK1364" s="76"/>
      <c r="UYL1364" s="76"/>
      <c r="UYM1364" s="76"/>
      <c r="UYN1364" s="76"/>
      <c r="UYO1364" s="76"/>
      <c r="UYP1364" s="76"/>
      <c r="UYQ1364" s="76"/>
      <c r="UYR1364" s="76"/>
      <c r="UYS1364" s="76"/>
      <c r="UYT1364" s="76"/>
      <c r="UYU1364" s="76"/>
      <c r="UYV1364" s="76"/>
      <c r="UYW1364" s="76"/>
      <c r="UYX1364" s="76"/>
      <c r="UYY1364" s="76"/>
      <c r="UYZ1364" s="76"/>
      <c r="UZA1364" s="76"/>
      <c r="UZB1364" s="76"/>
      <c r="UZC1364" s="76"/>
      <c r="UZD1364" s="76"/>
      <c r="UZE1364" s="76"/>
      <c r="UZF1364" s="76"/>
      <c r="UZG1364" s="76"/>
      <c r="UZH1364" s="76"/>
      <c r="UZI1364" s="76"/>
      <c r="UZJ1364" s="76"/>
      <c r="UZK1364" s="76"/>
      <c r="UZL1364" s="76"/>
      <c r="UZM1364" s="76"/>
      <c r="UZN1364" s="76"/>
      <c r="UZO1364" s="76"/>
      <c r="UZP1364" s="76"/>
      <c r="UZQ1364" s="76"/>
      <c r="UZR1364" s="76"/>
      <c r="UZS1364" s="76"/>
      <c r="UZT1364" s="76"/>
      <c r="UZU1364" s="76"/>
      <c r="UZV1364" s="76"/>
      <c r="UZW1364" s="76"/>
      <c r="UZX1364" s="76"/>
      <c r="UZY1364" s="76"/>
      <c r="UZZ1364" s="76"/>
      <c r="VAA1364" s="76"/>
      <c r="VAB1364" s="76"/>
      <c r="VAC1364" s="76"/>
      <c r="VAD1364" s="76"/>
      <c r="VAE1364" s="76"/>
      <c r="VAF1364" s="76"/>
      <c r="VAG1364" s="76"/>
      <c r="VAH1364" s="76"/>
      <c r="VAI1364" s="76"/>
      <c r="VAJ1364" s="76"/>
      <c r="VAK1364" s="76"/>
      <c r="VAL1364" s="76"/>
      <c r="VAM1364" s="76"/>
      <c r="VAN1364" s="76"/>
      <c r="VAO1364" s="76"/>
      <c r="VAP1364" s="76"/>
      <c r="VAQ1364" s="76"/>
      <c r="VAR1364" s="76"/>
      <c r="VAS1364" s="76"/>
      <c r="VAT1364" s="76"/>
      <c r="VAU1364" s="76"/>
      <c r="VAV1364" s="76"/>
      <c r="VAW1364" s="76"/>
      <c r="VAX1364" s="76"/>
      <c r="VAY1364" s="76"/>
      <c r="VAZ1364" s="76"/>
      <c r="VBA1364" s="76"/>
      <c r="VBB1364" s="76"/>
      <c r="VBC1364" s="76"/>
      <c r="VBD1364" s="76"/>
      <c r="VBE1364" s="76"/>
      <c r="VBF1364" s="76"/>
      <c r="VBG1364" s="76"/>
      <c r="VBH1364" s="76"/>
      <c r="VBI1364" s="76"/>
      <c r="VBJ1364" s="76"/>
      <c r="VBK1364" s="76"/>
      <c r="VBL1364" s="76"/>
      <c r="VBM1364" s="76"/>
      <c r="VBN1364" s="76"/>
      <c r="VBO1364" s="76"/>
      <c r="VBP1364" s="76"/>
      <c r="VBQ1364" s="76"/>
      <c r="VBR1364" s="76"/>
      <c r="VBS1364" s="76"/>
      <c r="VBT1364" s="76"/>
      <c r="VBU1364" s="76"/>
      <c r="VBV1364" s="76"/>
      <c r="VBW1364" s="76"/>
      <c r="VBX1364" s="76"/>
      <c r="VBY1364" s="76"/>
      <c r="VBZ1364" s="76"/>
      <c r="VCA1364" s="76"/>
      <c r="VCB1364" s="76"/>
      <c r="VCC1364" s="76"/>
      <c r="VCD1364" s="76"/>
      <c r="VCE1364" s="76"/>
      <c r="VCF1364" s="76"/>
      <c r="VCG1364" s="76"/>
      <c r="VCH1364" s="76"/>
      <c r="VCI1364" s="76"/>
      <c r="VCJ1364" s="76"/>
      <c r="VCK1364" s="76"/>
      <c r="VCL1364" s="76"/>
      <c r="VCM1364" s="76"/>
      <c r="VCN1364" s="76"/>
      <c r="VCO1364" s="76"/>
      <c r="VCP1364" s="76"/>
      <c r="VCQ1364" s="76"/>
      <c r="VCR1364" s="76"/>
      <c r="VCS1364" s="76"/>
      <c r="VCT1364" s="76"/>
      <c r="VCU1364" s="76"/>
      <c r="VCV1364" s="76"/>
      <c r="VCW1364" s="76"/>
      <c r="VCX1364" s="76"/>
      <c r="VCY1364" s="76"/>
      <c r="VCZ1364" s="76"/>
      <c r="VDA1364" s="76"/>
      <c r="VDB1364" s="76"/>
      <c r="VDC1364" s="76"/>
      <c r="VDD1364" s="76"/>
      <c r="VDE1364" s="76"/>
      <c r="VDF1364" s="76"/>
      <c r="VDG1364" s="76"/>
      <c r="VDH1364" s="76"/>
      <c r="VDI1364" s="76"/>
      <c r="VDJ1364" s="76"/>
      <c r="VDK1364" s="76"/>
      <c r="VDL1364" s="76"/>
      <c r="VDM1364" s="76"/>
      <c r="VDN1364" s="76"/>
      <c r="VDO1364" s="76"/>
      <c r="VDP1364" s="76"/>
      <c r="VDQ1364" s="76"/>
      <c r="VDR1364" s="76"/>
      <c r="VDS1364" s="76"/>
      <c r="VDT1364" s="76"/>
      <c r="VDU1364" s="76"/>
      <c r="VDV1364" s="76"/>
      <c r="VDW1364" s="76"/>
      <c r="VDX1364" s="76"/>
      <c r="VDY1364" s="76"/>
      <c r="VDZ1364" s="76"/>
      <c r="VEA1364" s="76"/>
      <c r="VEB1364" s="76"/>
      <c r="VEC1364" s="76"/>
      <c r="VED1364" s="76"/>
      <c r="VEE1364" s="76"/>
      <c r="VEF1364" s="76"/>
      <c r="VEG1364" s="76"/>
      <c r="VEH1364" s="76"/>
      <c r="VEI1364" s="76"/>
      <c r="VEJ1364" s="76"/>
      <c r="VEK1364" s="76"/>
      <c r="VEL1364" s="76"/>
      <c r="VEM1364" s="76"/>
      <c r="VEN1364" s="76"/>
      <c r="VEO1364" s="76"/>
      <c r="VEP1364" s="76"/>
      <c r="VEQ1364" s="76"/>
      <c r="VER1364" s="76"/>
      <c r="VES1364" s="76"/>
      <c r="VET1364" s="76"/>
      <c r="VEU1364" s="76"/>
      <c r="VEV1364" s="76"/>
      <c r="VEW1364" s="76"/>
      <c r="VEX1364" s="76"/>
      <c r="VEY1364" s="76"/>
      <c r="VEZ1364" s="76"/>
      <c r="VFA1364" s="76"/>
      <c r="VFB1364" s="76"/>
      <c r="VFC1364" s="76"/>
      <c r="VFD1364" s="76"/>
      <c r="VFE1364" s="76"/>
      <c r="VFF1364" s="76"/>
      <c r="VFG1364" s="76"/>
      <c r="VFH1364" s="76"/>
      <c r="VFI1364" s="76"/>
      <c r="VFJ1364" s="76"/>
      <c r="VFK1364" s="76"/>
      <c r="VFL1364" s="76"/>
      <c r="VFM1364" s="76"/>
      <c r="VFN1364" s="76"/>
      <c r="VFO1364" s="76"/>
      <c r="VFP1364" s="76"/>
      <c r="VFQ1364" s="76"/>
      <c r="VFR1364" s="76"/>
      <c r="VFS1364" s="76"/>
      <c r="VFT1364" s="76"/>
      <c r="VFU1364" s="76"/>
      <c r="VFV1364" s="76"/>
      <c r="VFW1364" s="76"/>
      <c r="VFX1364" s="76"/>
      <c r="VFY1364" s="76"/>
      <c r="VFZ1364" s="76"/>
      <c r="VGA1364" s="76"/>
      <c r="VGB1364" s="76"/>
      <c r="VGC1364" s="76"/>
      <c r="VGD1364" s="76"/>
      <c r="VGE1364" s="76"/>
      <c r="VGF1364" s="76"/>
      <c r="VGG1364" s="76"/>
      <c r="VGH1364" s="76"/>
      <c r="VGI1364" s="76"/>
      <c r="VGJ1364" s="76"/>
      <c r="VGK1364" s="76"/>
      <c r="VGL1364" s="76"/>
      <c r="VGM1364" s="76"/>
      <c r="VGN1364" s="76"/>
      <c r="VGO1364" s="76"/>
      <c r="VGP1364" s="76"/>
      <c r="VGQ1364" s="76"/>
      <c r="VGR1364" s="76"/>
      <c r="VGS1364" s="76"/>
      <c r="VGT1364" s="76"/>
      <c r="VGU1364" s="76"/>
      <c r="VGV1364" s="76"/>
      <c r="VGW1364" s="76"/>
      <c r="VGX1364" s="76"/>
      <c r="VGY1364" s="76"/>
      <c r="VGZ1364" s="76"/>
      <c r="VHA1364" s="76"/>
      <c r="VHB1364" s="76"/>
      <c r="VHC1364" s="76"/>
      <c r="VHD1364" s="76"/>
      <c r="VHE1364" s="76"/>
      <c r="VHF1364" s="76"/>
      <c r="VHG1364" s="76"/>
      <c r="VHH1364" s="76"/>
      <c r="VHI1364" s="76"/>
      <c r="VHJ1364" s="76"/>
      <c r="VHK1364" s="76"/>
      <c r="VHL1364" s="76"/>
      <c r="VHM1364" s="76"/>
      <c r="VHN1364" s="76"/>
      <c r="VHO1364" s="76"/>
      <c r="VHP1364" s="76"/>
      <c r="VHQ1364" s="76"/>
      <c r="VHR1364" s="76"/>
      <c r="VHS1364" s="76"/>
      <c r="VHT1364" s="76"/>
      <c r="VHU1364" s="76"/>
      <c r="VHV1364" s="76"/>
      <c r="VHW1364" s="76"/>
      <c r="VHX1364" s="76"/>
      <c r="VHY1364" s="76"/>
      <c r="VHZ1364" s="76"/>
      <c r="VIA1364" s="76"/>
      <c r="VIB1364" s="76"/>
      <c r="VIC1364" s="50"/>
      <c r="VID1364" s="76"/>
      <c r="VIE1364" s="76"/>
      <c r="VIF1364" s="76"/>
      <c r="VIG1364" s="76"/>
      <c r="VIH1364" s="76"/>
      <c r="VII1364" s="76"/>
      <c r="VIJ1364" s="76"/>
      <c r="VIK1364" s="76"/>
      <c r="VIL1364" s="76"/>
      <c r="VIM1364" s="76"/>
      <c r="VIN1364" s="76"/>
      <c r="VIO1364" s="76"/>
      <c r="VIP1364" s="76"/>
      <c r="VIQ1364" s="76"/>
      <c r="VIR1364" s="76"/>
      <c r="VIS1364" s="76"/>
      <c r="VIT1364" s="76"/>
      <c r="VIU1364" s="76"/>
      <c r="VIV1364" s="76"/>
      <c r="VIW1364" s="76"/>
      <c r="VIX1364" s="76"/>
      <c r="VIY1364" s="76"/>
      <c r="VIZ1364" s="76"/>
      <c r="VJA1364" s="76"/>
      <c r="VJB1364" s="76"/>
      <c r="VJC1364" s="76"/>
      <c r="VJD1364" s="76"/>
      <c r="VJE1364" s="76"/>
      <c r="VJF1364" s="76"/>
      <c r="VJG1364" s="76"/>
      <c r="VJH1364" s="76"/>
      <c r="VJI1364" s="76"/>
      <c r="VJJ1364" s="76"/>
      <c r="VJK1364" s="76"/>
      <c r="VJL1364" s="76"/>
      <c r="VJM1364" s="76"/>
      <c r="VJN1364" s="76"/>
      <c r="VJO1364" s="76"/>
      <c r="VJP1364" s="76"/>
      <c r="VJQ1364" s="76"/>
      <c r="VJR1364" s="76"/>
      <c r="VJS1364" s="76"/>
      <c r="VJT1364" s="76"/>
      <c r="VJU1364" s="76"/>
      <c r="VJV1364" s="76"/>
      <c r="VJW1364" s="76"/>
      <c r="VJX1364" s="76"/>
      <c r="VJY1364" s="76"/>
      <c r="VJZ1364" s="76"/>
      <c r="VKA1364" s="76"/>
      <c r="VKB1364" s="76"/>
      <c r="VKC1364" s="76"/>
      <c r="VKD1364" s="76"/>
      <c r="VKE1364" s="76"/>
      <c r="VKF1364" s="76"/>
      <c r="VKG1364" s="76"/>
      <c r="VKH1364" s="76"/>
      <c r="VKI1364" s="76"/>
      <c r="VKJ1364" s="76"/>
      <c r="VKK1364" s="76"/>
      <c r="VKL1364" s="76"/>
      <c r="VKM1364" s="76"/>
      <c r="VKN1364" s="76"/>
      <c r="VKO1364" s="76"/>
      <c r="VKP1364" s="76"/>
      <c r="VKQ1364" s="76"/>
      <c r="VKR1364" s="76"/>
      <c r="VKS1364" s="76"/>
      <c r="VKT1364" s="76"/>
      <c r="VKU1364" s="76"/>
      <c r="VKV1364" s="76"/>
      <c r="VKW1364" s="76"/>
      <c r="VKX1364" s="76"/>
      <c r="VKY1364" s="76"/>
      <c r="VKZ1364" s="76"/>
      <c r="VLA1364" s="76"/>
      <c r="VLB1364" s="76"/>
      <c r="VLC1364" s="76"/>
      <c r="VLD1364" s="76"/>
      <c r="VLE1364" s="76"/>
      <c r="VLF1364" s="76"/>
      <c r="VLG1364" s="76"/>
      <c r="VLH1364" s="76"/>
      <c r="VLI1364" s="76"/>
      <c r="VLJ1364" s="76"/>
      <c r="VLK1364" s="76"/>
      <c r="VLL1364" s="76"/>
      <c r="VLM1364" s="76"/>
      <c r="VLN1364" s="76"/>
      <c r="VLO1364" s="76"/>
      <c r="VLP1364" s="76"/>
      <c r="VLQ1364" s="76"/>
      <c r="VLR1364" s="76"/>
      <c r="VLS1364" s="76"/>
      <c r="VLT1364" s="76"/>
      <c r="VLU1364" s="76"/>
      <c r="VLV1364" s="76"/>
      <c r="VLW1364" s="76"/>
      <c r="VLX1364" s="76"/>
      <c r="VLY1364" s="76"/>
      <c r="VLZ1364" s="76"/>
      <c r="VMA1364" s="76"/>
      <c r="VMB1364" s="76"/>
      <c r="VMC1364" s="76"/>
      <c r="VMD1364" s="76"/>
      <c r="VME1364" s="76"/>
      <c r="VMF1364" s="76"/>
      <c r="VMG1364" s="76"/>
      <c r="VMH1364" s="76"/>
      <c r="VMI1364" s="76"/>
      <c r="VMJ1364" s="76"/>
      <c r="VMK1364" s="76"/>
      <c r="VML1364" s="76"/>
      <c r="VMM1364" s="76"/>
      <c r="VMN1364" s="76"/>
      <c r="VMO1364" s="76"/>
      <c r="VMP1364" s="76"/>
      <c r="VMQ1364" s="76"/>
      <c r="VMR1364" s="76"/>
      <c r="VMS1364" s="76"/>
      <c r="VMT1364" s="76"/>
      <c r="VMU1364" s="76"/>
      <c r="VMV1364" s="76"/>
      <c r="VMW1364" s="76"/>
      <c r="VMX1364" s="76"/>
      <c r="VMY1364" s="76"/>
      <c r="VMZ1364" s="76"/>
      <c r="VNA1364" s="76"/>
      <c r="VNB1364" s="76"/>
      <c r="VNC1364" s="76"/>
      <c r="VND1364" s="76"/>
      <c r="VNE1364" s="76"/>
      <c r="VNF1364" s="76"/>
      <c r="VNG1364" s="76"/>
      <c r="VNH1364" s="76"/>
      <c r="VNI1364" s="76"/>
      <c r="VNJ1364" s="76"/>
      <c r="VNK1364" s="76"/>
      <c r="VNL1364" s="76"/>
      <c r="VNM1364" s="76"/>
      <c r="VNN1364" s="76"/>
      <c r="VNO1364" s="76"/>
      <c r="VNP1364" s="76"/>
      <c r="VNQ1364" s="76"/>
      <c r="VNR1364" s="76"/>
      <c r="VNS1364" s="76"/>
      <c r="VNT1364" s="76"/>
      <c r="VNU1364" s="76"/>
      <c r="VNV1364" s="76"/>
      <c r="VNW1364" s="76"/>
      <c r="VNX1364" s="76"/>
      <c r="VNY1364" s="76"/>
      <c r="VNZ1364" s="76"/>
      <c r="VOA1364" s="76"/>
      <c r="VOB1364" s="76"/>
      <c r="VOC1364" s="76"/>
      <c r="VOD1364" s="76"/>
      <c r="VOE1364" s="76"/>
      <c r="VOF1364" s="76"/>
      <c r="VOG1364" s="76"/>
      <c r="VOH1364" s="76"/>
      <c r="VOI1364" s="76"/>
      <c r="VOJ1364" s="76"/>
      <c r="VOK1364" s="76"/>
      <c r="VOL1364" s="76"/>
      <c r="VOM1364" s="76"/>
      <c r="VON1364" s="76"/>
      <c r="VOO1364" s="76"/>
      <c r="VOP1364" s="76"/>
      <c r="VOQ1364" s="76"/>
      <c r="VOR1364" s="76"/>
      <c r="VOS1364" s="76"/>
      <c r="VOT1364" s="76"/>
      <c r="VOU1364" s="76"/>
      <c r="VOV1364" s="76"/>
      <c r="VOW1364" s="76"/>
      <c r="VOX1364" s="76"/>
      <c r="VOY1364" s="76"/>
      <c r="VOZ1364" s="76"/>
      <c r="VPA1364" s="76"/>
      <c r="VPB1364" s="76"/>
      <c r="VPC1364" s="76"/>
      <c r="VPD1364" s="76"/>
      <c r="VPE1364" s="76"/>
      <c r="VPF1364" s="76"/>
      <c r="VPG1364" s="76"/>
      <c r="VPH1364" s="76"/>
      <c r="VPI1364" s="76"/>
      <c r="VPJ1364" s="76"/>
      <c r="VPK1364" s="76"/>
      <c r="VPL1364" s="76"/>
      <c r="VPM1364" s="76"/>
      <c r="VPN1364" s="76"/>
      <c r="VPO1364" s="76"/>
      <c r="VPP1364" s="76"/>
      <c r="VPQ1364" s="76"/>
      <c r="VPR1364" s="76"/>
      <c r="VPS1364" s="76"/>
      <c r="VPT1364" s="76"/>
      <c r="VPU1364" s="76"/>
      <c r="VPV1364" s="76"/>
      <c r="VPW1364" s="76"/>
      <c r="VPX1364" s="76"/>
      <c r="VPY1364" s="76"/>
      <c r="VPZ1364" s="76"/>
      <c r="VQA1364" s="76"/>
      <c r="VQB1364" s="76"/>
      <c r="VQC1364" s="76"/>
      <c r="VQD1364" s="76"/>
      <c r="VQE1364" s="76"/>
      <c r="VQF1364" s="76"/>
      <c r="VQG1364" s="76"/>
      <c r="VQH1364" s="76"/>
      <c r="VQI1364" s="76"/>
      <c r="VQJ1364" s="76"/>
      <c r="VQK1364" s="76"/>
      <c r="VQL1364" s="76"/>
      <c r="VQM1364" s="76"/>
      <c r="VQN1364" s="76"/>
      <c r="VQO1364" s="76"/>
      <c r="VQP1364" s="76"/>
      <c r="VQQ1364" s="76"/>
      <c r="VQR1364" s="76"/>
      <c r="VQS1364" s="76"/>
      <c r="VQT1364" s="76"/>
      <c r="VQU1364" s="76"/>
      <c r="VQV1364" s="76"/>
      <c r="VQW1364" s="76"/>
      <c r="VQX1364" s="76"/>
      <c r="VQY1364" s="76"/>
      <c r="VQZ1364" s="76"/>
      <c r="VRA1364" s="76"/>
      <c r="VRB1364" s="76"/>
      <c r="VRC1364" s="76"/>
      <c r="VRD1364" s="76"/>
      <c r="VRE1364" s="76"/>
      <c r="VRF1364" s="76"/>
      <c r="VRG1364" s="76"/>
      <c r="VRH1364" s="76"/>
      <c r="VRI1364" s="76"/>
      <c r="VRJ1364" s="76"/>
      <c r="VRK1364" s="76"/>
      <c r="VRL1364" s="76"/>
      <c r="VRM1364" s="76"/>
      <c r="VRN1364" s="76"/>
      <c r="VRO1364" s="76"/>
      <c r="VRP1364" s="76"/>
      <c r="VRQ1364" s="76"/>
      <c r="VRR1364" s="76"/>
      <c r="VRS1364" s="76"/>
      <c r="VRT1364" s="76"/>
      <c r="VRU1364" s="76"/>
      <c r="VRV1364" s="76"/>
      <c r="VRW1364" s="76"/>
      <c r="VRX1364" s="76"/>
      <c r="VRY1364" s="50"/>
      <c r="VRZ1364" s="76"/>
      <c r="VSA1364" s="76"/>
      <c r="VSB1364" s="76"/>
      <c r="VSC1364" s="76"/>
      <c r="VSD1364" s="76"/>
      <c r="VSE1364" s="76"/>
      <c r="VSF1364" s="76"/>
      <c r="VSG1364" s="76"/>
      <c r="VSH1364" s="76"/>
      <c r="VSI1364" s="76"/>
      <c r="VSJ1364" s="76"/>
      <c r="VSK1364" s="76"/>
      <c r="VSL1364" s="76"/>
      <c r="VSM1364" s="76"/>
      <c r="VSN1364" s="76"/>
      <c r="VSO1364" s="76"/>
      <c r="VSP1364" s="76"/>
      <c r="VSQ1364" s="76"/>
      <c r="VSR1364" s="76"/>
      <c r="VSS1364" s="76"/>
      <c r="VST1364" s="76"/>
      <c r="VSU1364" s="76"/>
      <c r="VSV1364" s="76"/>
      <c r="VSW1364" s="76"/>
      <c r="VSX1364" s="76"/>
      <c r="VSY1364" s="76"/>
      <c r="VSZ1364" s="76"/>
      <c r="VTA1364" s="76"/>
      <c r="VTB1364" s="76"/>
      <c r="VTC1364" s="76"/>
      <c r="VTD1364" s="76"/>
      <c r="VTE1364" s="76"/>
      <c r="VTF1364" s="76"/>
      <c r="VTG1364" s="76"/>
      <c r="VTH1364" s="76"/>
      <c r="VTI1364" s="76"/>
      <c r="VTJ1364" s="76"/>
      <c r="VTK1364" s="76"/>
      <c r="VTL1364" s="76"/>
      <c r="VTM1364" s="76"/>
      <c r="VTN1364" s="76"/>
      <c r="VTO1364" s="76"/>
      <c r="VTP1364" s="76"/>
      <c r="VTQ1364" s="76"/>
      <c r="VTR1364" s="76"/>
      <c r="VTS1364" s="76"/>
      <c r="VTT1364" s="76"/>
      <c r="VTU1364" s="76"/>
      <c r="VTV1364" s="76"/>
      <c r="VTW1364" s="76"/>
      <c r="VTX1364" s="76"/>
      <c r="VTY1364" s="76"/>
      <c r="VTZ1364" s="76"/>
      <c r="VUA1364" s="76"/>
      <c r="VUB1364" s="76"/>
      <c r="VUC1364" s="76"/>
      <c r="VUD1364" s="76"/>
      <c r="VUE1364" s="76"/>
      <c r="VUF1364" s="76"/>
      <c r="VUG1364" s="76"/>
      <c r="VUH1364" s="76"/>
      <c r="VUI1364" s="76"/>
      <c r="VUJ1364" s="76"/>
      <c r="VUK1364" s="76"/>
      <c r="VUL1364" s="76"/>
      <c r="VUM1364" s="76"/>
      <c r="VUN1364" s="76"/>
      <c r="VUO1364" s="76"/>
      <c r="VUP1364" s="76"/>
      <c r="VUQ1364" s="76"/>
      <c r="VUR1364" s="76"/>
      <c r="VUS1364" s="76"/>
      <c r="VUT1364" s="76"/>
      <c r="VUU1364" s="76"/>
      <c r="VUV1364" s="76"/>
      <c r="VUW1364" s="76"/>
      <c r="VUX1364" s="76"/>
      <c r="VUY1364" s="76"/>
      <c r="VUZ1364" s="76"/>
      <c r="VVA1364" s="76"/>
      <c r="VVB1364" s="76"/>
      <c r="VVC1364" s="76"/>
      <c r="VVD1364" s="76"/>
      <c r="VVE1364" s="76"/>
      <c r="VVF1364" s="76"/>
      <c r="VVG1364" s="76"/>
      <c r="VVH1364" s="76"/>
      <c r="VVI1364" s="76"/>
      <c r="VVJ1364" s="76"/>
      <c r="VVK1364" s="76"/>
      <c r="VVL1364" s="76"/>
      <c r="VVM1364" s="76"/>
      <c r="VVN1364" s="76"/>
      <c r="VVO1364" s="76"/>
      <c r="VVP1364" s="76"/>
      <c r="VVQ1364" s="76"/>
      <c r="VVR1364" s="76"/>
      <c r="VVS1364" s="76"/>
      <c r="VVT1364" s="76"/>
      <c r="VVU1364" s="76"/>
      <c r="VVV1364" s="76"/>
      <c r="VVW1364" s="76"/>
      <c r="VVX1364" s="76"/>
      <c r="VVY1364" s="76"/>
      <c r="VVZ1364" s="76"/>
      <c r="VWA1364" s="76"/>
      <c r="VWB1364" s="76"/>
      <c r="VWC1364" s="76"/>
      <c r="VWD1364" s="76"/>
      <c r="VWE1364" s="76"/>
      <c r="VWF1364" s="76"/>
      <c r="VWG1364" s="76"/>
      <c r="VWH1364" s="76"/>
      <c r="VWI1364" s="76"/>
      <c r="VWJ1364" s="76"/>
      <c r="VWK1364" s="76"/>
      <c r="VWL1364" s="76"/>
      <c r="VWM1364" s="76"/>
      <c r="VWN1364" s="76"/>
      <c r="VWO1364" s="76"/>
      <c r="VWP1364" s="76"/>
      <c r="VWQ1364" s="76"/>
      <c r="VWR1364" s="76"/>
      <c r="VWS1364" s="76"/>
      <c r="VWT1364" s="76"/>
      <c r="VWU1364" s="76"/>
      <c r="VWV1364" s="76"/>
      <c r="VWW1364" s="76"/>
      <c r="VWX1364" s="76"/>
      <c r="VWY1364" s="76"/>
      <c r="VWZ1364" s="76"/>
      <c r="VXA1364" s="76"/>
      <c r="VXB1364" s="76"/>
      <c r="VXC1364" s="76"/>
      <c r="VXD1364" s="76"/>
      <c r="VXE1364" s="76"/>
      <c r="VXF1364" s="76"/>
      <c r="VXG1364" s="76"/>
      <c r="VXH1364" s="76"/>
      <c r="VXI1364" s="76"/>
      <c r="VXJ1364" s="76"/>
      <c r="VXK1364" s="76"/>
      <c r="VXL1364" s="76"/>
      <c r="VXM1364" s="76"/>
      <c r="VXN1364" s="76"/>
      <c r="VXO1364" s="76"/>
      <c r="VXP1364" s="76"/>
      <c r="VXQ1364" s="76"/>
      <c r="VXR1364" s="76"/>
      <c r="VXS1364" s="76"/>
      <c r="VXT1364" s="76"/>
      <c r="VXU1364" s="76"/>
      <c r="VXV1364" s="76"/>
      <c r="VXW1364" s="76"/>
      <c r="VXX1364" s="76"/>
      <c r="VXY1364" s="76"/>
      <c r="VXZ1364" s="76"/>
      <c r="VYA1364" s="76"/>
      <c r="VYB1364" s="76"/>
      <c r="VYC1364" s="76"/>
      <c r="VYD1364" s="76"/>
      <c r="VYE1364" s="76"/>
      <c r="VYF1364" s="76"/>
      <c r="VYG1364" s="76"/>
      <c r="VYH1364" s="76"/>
      <c r="VYI1364" s="76"/>
      <c r="VYJ1364" s="76"/>
      <c r="VYK1364" s="76"/>
      <c r="VYL1364" s="76"/>
      <c r="VYM1364" s="76"/>
      <c r="VYN1364" s="76"/>
      <c r="VYO1364" s="76"/>
      <c r="VYP1364" s="76"/>
      <c r="VYQ1364" s="76"/>
      <c r="VYR1364" s="76"/>
      <c r="VYS1364" s="76"/>
      <c r="VYT1364" s="76"/>
      <c r="VYU1364" s="76"/>
      <c r="VYV1364" s="76"/>
      <c r="VYW1364" s="76"/>
      <c r="VYX1364" s="76"/>
      <c r="VYY1364" s="76"/>
      <c r="VYZ1364" s="76"/>
      <c r="VZA1364" s="76"/>
      <c r="VZB1364" s="76"/>
      <c r="VZC1364" s="76"/>
      <c r="VZD1364" s="76"/>
      <c r="VZE1364" s="76"/>
      <c r="VZF1364" s="76"/>
      <c r="VZG1364" s="76"/>
      <c r="VZH1364" s="76"/>
      <c r="VZI1364" s="76"/>
      <c r="VZJ1364" s="76"/>
      <c r="VZK1364" s="76"/>
      <c r="VZL1364" s="76"/>
      <c r="VZM1364" s="76"/>
      <c r="VZN1364" s="76"/>
      <c r="VZO1364" s="76"/>
      <c r="VZP1364" s="76"/>
      <c r="VZQ1364" s="76"/>
      <c r="VZR1364" s="76"/>
      <c r="VZS1364" s="76"/>
      <c r="VZT1364" s="76"/>
      <c r="VZU1364" s="76"/>
      <c r="VZV1364" s="76"/>
      <c r="VZW1364" s="76"/>
      <c r="VZX1364" s="76"/>
      <c r="VZY1364" s="76"/>
      <c r="VZZ1364" s="76"/>
      <c r="WAA1364" s="76"/>
      <c r="WAB1364" s="76"/>
      <c r="WAC1364" s="76"/>
      <c r="WAD1364" s="76"/>
      <c r="WAE1364" s="76"/>
      <c r="WAF1364" s="76"/>
      <c r="WAG1364" s="76"/>
      <c r="WAH1364" s="76"/>
      <c r="WAI1364" s="76"/>
      <c r="WAJ1364" s="76"/>
      <c r="WAK1364" s="76"/>
      <c r="WAL1364" s="76"/>
      <c r="WAM1364" s="76"/>
      <c r="WAN1364" s="76"/>
      <c r="WAO1364" s="76"/>
      <c r="WAP1364" s="76"/>
      <c r="WAQ1364" s="76"/>
      <c r="WAR1364" s="76"/>
      <c r="WAS1364" s="76"/>
      <c r="WAT1364" s="76"/>
      <c r="WAU1364" s="76"/>
      <c r="WAV1364" s="76"/>
      <c r="WAW1364" s="76"/>
      <c r="WAX1364" s="76"/>
      <c r="WAY1364" s="76"/>
      <c r="WAZ1364" s="76"/>
      <c r="WBA1364" s="76"/>
      <c r="WBB1364" s="76"/>
      <c r="WBC1364" s="76"/>
      <c r="WBD1364" s="76"/>
      <c r="WBE1364" s="76"/>
      <c r="WBF1364" s="76"/>
      <c r="WBG1364" s="76"/>
      <c r="WBH1364" s="76"/>
      <c r="WBI1364" s="76"/>
      <c r="WBJ1364" s="76"/>
      <c r="WBK1364" s="76"/>
      <c r="WBL1364" s="76"/>
      <c r="WBM1364" s="76"/>
      <c r="WBN1364" s="76"/>
      <c r="WBO1364" s="76"/>
      <c r="WBP1364" s="76"/>
      <c r="WBQ1364" s="76"/>
      <c r="WBR1364" s="76"/>
      <c r="WBS1364" s="76"/>
      <c r="WBT1364" s="76"/>
      <c r="WBU1364" s="50"/>
      <c r="WBV1364" s="76"/>
      <c r="WBW1364" s="76"/>
      <c r="WBX1364" s="76"/>
      <c r="WBY1364" s="76"/>
      <c r="WBZ1364" s="76"/>
      <c r="WCA1364" s="76"/>
      <c r="WCB1364" s="76"/>
      <c r="WCC1364" s="76"/>
      <c r="WCD1364" s="76"/>
      <c r="WCE1364" s="76"/>
      <c r="WCF1364" s="76"/>
      <c r="WCG1364" s="76"/>
      <c r="WCH1364" s="76"/>
      <c r="WCI1364" s="76"/>
      <c r="WCJ1364" s="76"/>
      <c r="WCK1364" s="76"/>
      <c r="WCL1364" s="76"/>
      <c r="WCM1364" s="76"/>
      <c r="WCN1364" s="76"/>
      <c r="WCO1364" s="76"/>
      <c r="WCP1364" s="76"/>
      <c r="WCQ1364" s="76"/>
      <c r="WCR1364" s="76"/>
      <c r="WCS1364" s="76"/>
      <c r="WCT1364" s="76"/>
      <c r="WCU1364" s="76"/>
      <c r="WCV1364" s="76"/>
      <c r="WCW1364" s="76"/>
      <c r="WCX1364" s="76"/>
      <c r="WCY1364" s="76"/>
      <c r="WCZ1364" s="76"/>
      <c r="WDA1364" s="76"/>
      <c r="WDB1364" s="76"/>
      <c r="WDC1364" s="76"/>
      <c r="WDD1364" s="76"/>
      <c r="WDE1364" s="76"/>
      <c r="WDF1364" s="76"/>
      <c r="WDG1364" s="76"/>
      <c r="WDH1364" s="76"/>
      <c r="WDI1364" s="76"/>
      <c r="WDJ1364" s="76"/>
      <c r="WDK1364" s="76"/>
      <c r="WDL1364" s="76"/>
      <c r="WDM1364" s="76"/>
      <c r="WDN1364" s="76"/>
      <c r="WDO1364" s="76"/>
      <c r="WDP1364" s="76"/>
      <c r="WDQ1364" s="76"/>
      <c r="WDR1364" s="76"/>
      <c r="WDS1364" s="76"/>
      <c r="WDT1364" s="76"/>
      <c r="WDU1364" s="76"/>
      <c r="WDV1364" s="76"/>
      <c r="WDW1364" s="76"/>
      <c r="WDX1364" s="76"/>
      <c r="WDY1364" s="76"/>
      <c r="WDZ1364" s="76"/>
      <c r="WEA1364" s="76"/>
      <c r="WEB1364" s="76"/>
      <c r="WEC1364" s="76"/>
      <c r="WED1364" s="76"/>
      <c r="WEE1364" s="76"/>
      <c r="WEF1364" s="76"/>
      <c r="WEG1364" s="76"/>
      <c r="WEH1364" s="76"/>
      <c r="WEI1364" s="76"/>
      <c r="WEJ1364" s="76"/>
      <c r="WEK1364" s="76"/>
      <c r="WEL1364" s="76"/>
      <c r="WEM1364" s="76"/>
      <c r="WEN1364" s="76"/>
      <c r="WEO1364" s="76"/>
      <c r="WEP1364" s="76"/>
      <c r="WEQ1364" s="76"/>
      <c r="WER1364" s="76"/>
      <c r="WES1364" s="76"/>
      <c r="WET1364" s="76"/>
      <c r="WEU1364" s="76"/>
      <c r="WEV1364" s="76"/>
      <c r="WEW1364" s="76"/>
      <c r="WEX1364" s="76"/>
      <c r="WEY1364" s="76"/>
      <c r="WEZ1364" s="76"/>
      <c r="WFA1364" s="76"/>
      <c r="WFB1364" s="76"/>
      <c r="WFC1364" s="76"/>
      <c r="WFD1364" s="76"/>
      <c r="WFE1364" s="76"/>
      <c r="WFF1364" s="76"/>
      <c r="WFG1364" s="76"/>
      <c r="WFH1364" s="76"/>
      <c r="WFI1364" s="76"/>
      <c r="WFJ1364" s="76"/>
      <c r="WFK1364" s="76"/>
      <c r="WFL1364" s="76"/>
      <c r="WFM1364" s="76"/>
      <c r="WFN1364" s="76"/>
      <c r="WFO1364" s="76"/>
      <c r="WFP1364" s="76"/>
      <c r="WFQ1364" s="76"/>
      <c r="WFR1364" s="76"/>
      <c r="WFS1364" s="76"/>
      <c r="WFT1364" s="76"/>
      <c r="WFU1364" s="76"/>
      <c r="WFV1364" s="76"/>
      <c r="WFW1364" s="76"/>
      <c r="WFX1364" s="76"/>
      <c r="WFY1364" s="76"/>
      <c r="WFZ1364" s="76"/>
      <c r="WGA1364" s="76"/>
      <c r="WGB1364" s="76"/>
      <c r="WGC1364" s="76"/>
      <c r="WGD1364" s="76"/>
      <c r="WGE1364" s="76"/>
      <c r="WGF1364" s="76"/>
      <c r="WGG1364" s="76"/>
      <c r="WGH1364" s="76"/>
      <c r="WGI1364" s="76"/>
      <c r="WGJ1364" s="76"/>
      <c r="WGK1364" s="76"/>
      <c r="WGL1364" s="76"/>
      <c r="WGM1364" s="76"/>
      <c r="WGN1364" s="76"/>
      <c r="WGO1364" s="76"/>
      <c r="WGP1364" s="76"/>
      <c r="WGQ1364" s="76"/>
      <c r="WGR1364" s="76"/>
      <c r="WGS1364" s="76"/>
      <c r="WGT1364" s="76"/>
      <c r="WGU1364" s="76"/>
      <c r="WGV1364" s="76"/>
      <c r="WGW1364" s="76"/>
      <c r="WGX1364" s="76"/>
      <c r="WGY1364" s="76"/>
      <c r="WGZ1364" s="76"/>
      <c r="WHA1364" s="76"/>
      <c r="WHB1364" s="76"/>
      <c r="WHC1364" s="76"/>
      <c r="WHD1364" s="76"/>
      <c r="WHE1364" s="76"/>
      <c r="WHF1364" s="76"/>
      <c r="WHG1364" s="76"/>
      <c r="WHH1364" s="76"/>
      <c r="WHI1364" s="76"/>
      <c r="WHJ1364" s="76"/>
      <c r="WHK1364" s="76"/>
      <c r="WHL1364" s="76"/>
      <c r="WHM1364" s="76"/>
      <c r="WHN1364" s="76"/>
      <c r="WHO1364" s="76"/>
      <c r="WHP1364" s="76"/>
      <c r="WHQ1364" s="76"/>
      <c r="WHR1364" s="76"/>
      <c r="WHS1364" s="76"/>
      <c r="WHT1364" s="76"/>
      <c r="WHU1364" s="76"/>
      <c r="WHV1364" s="76"/>
      <c r="WHW1364" s="76"/>
      <c r="WHX1364" s="76"/>
      <c r="WHY1364" s="76"/>
      <c r="WHZ1364" s="76"/>
      <c r="WIA1364" s="76"/>
      <c r="WIB1364" s="76"/>
      <c r="WIC1364" s="76"/>
      <c r="WID1364" s="76"/>
      <c r="WIE1364" s="76"/>
      <c r="WIF1364" s="76"/>
      <c r="WIG1364" s="76"/>
      <c r="WIH1364" s="76"/>
      <c r="WII1364" s="76"/>
      <c r="WIJ1364" s="76"/>
      <c r="WIK1364" s="76"/>
      <c r="WIL1364" s="76"/>
      <c r="WIM1364" s="76"/>
      <c r="WIN1364" s="76"/>
      <c r="WIO1364" s="76"/>
      <c r="WIP1364" s="76"/>
      <c r="WIQ1364" s="76"/>
      <c r="WIR1364" s="76"/>
      <c r="WIS1364" s="76"/>
      <c r="WIT1364" s="76"/>
      <c r="WIU1364" s="76"/>
      <c r="WIV1364" s="76"/>
      <c r="WIW1364" s="76"/>
      <c r="WIX1364" s="76"/>
      <c r="WIY1364" s="76"/>
      <c r="WIZ1364" s="76"/>
      <c r="WJA1364" s="76"/>
      <c r="WJB1364" s="76"/>
      <c r="WJC1364" s="76"/>
      <c r="WJD1364" s="76"/>
      <c r="WJE1364" s="76"/>
      <c r="WJF1364" s="76"/>
      <c r="WJG1364" s="76"/>
      <c r="WJH1364" s="76"/>
      <c r="WJI1364" s="76"/>
      <c r="WJJ1364" s="76"/>
      <c r="WJK1364" s="76"/>
      <c r="WJL1364" s="76"/>
      <c r="WJM1364" s="76"/>
      <c r="WJN1364" s="76"/>
      <c r="WJO1364" s="76"/>
      <c r="WJP1364" s="76"/>
      <c r="WJQ1364" s="76"/>
      <c r="WJR1364" s="76"/>
      <c r="WJS1364" s="76"/>
      <c r="WJT1364" s="76"/>
      <c r="WJU1364" s="76"/>
      <c r="WJV1364" s="76"/>
      <c r="WJW1364" s="76"/>
      <c r="WJX1364" s="76"/>
      <c r="WJY1364" s="76"/>
      <c r="WJZ1364" s="76"/>
      <c r="WKA1364" s="76"/>
      <c r="WKB1364" s="76"/>
      <c r="WKC1364" s="76"/>
      <c r="WKD1364" s="76"/>
      <c r="WKE1364" s="76"/>
      <c r="WKF1364" s="76"/>
      <c r="WKG1364" s="76"/>
      <c r="WKH1364" s="76"/>
      <c r="WKI1364" s="76"/>
      <c r="WKJ1364" s="76"/>
      <c r="WKK1364" s="76"/>
      <c r="WKL1364" s="76"/>
      <c r="WKM1364" s="76"/>
      <c r="WKN1364" s="76"/>
      <c r="WKO1364" s="76"/>
      <c r="WKP1364" s="76"/>
      <c r="WKQ1364" s="76"/>
      <c r="WKR1364" s="76"/>
      <c r="WKS1364" s="76"/>
      <c r="WKT1364" s="76"/>
      <c r="WKU1364" s="76"/>
      <c r="WKV1364" s="76"/>
      <c r="WKW1364" s="76"/>
      <c r="WKX1364" s="76"/>
      <c r="WKY1364" s="76"/>
      <c r="WKZ1364" s="76"/>
      <c r="WLA1364" s="76"/>
      <c r="WLB1364" s="76"/>
      <c r="WLC1364" s="76"/>
      <c r="WLD1364" s="76"/>
      <c r="WLE1364" s="76"/>
      <c r="WLF1364" s="76"/>
      <c r="WLG1364" s="76"/>
      <c r="WLH1364" s="76"/>
      <c r="WLI1364" s="76"/>
      <c r="WLJ1364" s="76"/>
      <c r="WLK1364" s="76"/>
      <c r="WLL1364" s="76"/>
      <c r="WLM1364" s="76"/>
      <c r="WLN1364" s="76"/>
      <c r="WLO1364" s="76"/>
      <c r="WLP1364" s="76"/>
      <c r="WLQ1364" s="50"/>
      <c r="WLR1364" s="76"/>
      <c r="WLS1364" s="76"/>
      <c r="WLT1364" s="76"/>
      <c r="WLU1364" s="76"/>
      <c r="WLV1364" s="76"/>
      <c r="WLW1364" s="76"/>
      <c r="WLX1364" s="76"/>
      <c r="WLY1364" s="76"/>
      <c r="WLZ1364" s="76"/>
      <c r="WMA1364" s="76"/>
      <c r="WMB1364" s="76"/>
      <c r="WMC1364" s="76"/>
      <c r="WMD1364" s="76"/>
      <c r="WME1364" s="76"/>
      <c r="WMF1364" s="76"/>
      <c r="WMG1364" s="76"/>
      <c r="WMH1364" s="76"/>
      <c r="WMI1364" s="76"/>
      <c r="WMJ1364" s="76"/>
      <c r="WMK1364" s="76"/>
      <c r="WML1364" s="76"/>
      <c r="WMM1364" s="76"/>
      <c r="WMN1364" s="76"/>
      <c r="WMO1364" s="76"/>
      <c r="WMP1364" s="76"/>
      <c r="WMQ1364" s="76"/>
      <c r="WMR1364" s="76"/>
      <c r="WMS1364" s="76"/>
      <c r="WMT1364" s="76"/>
      <c r="WMU1364" s="76"/>
      <c r="WMV1364" s="76"/>
      <c r="WMW1364" s="76"/>
      <c r="WMX1364" s="76"/>
      <c r="WMY1364" s="76"/>
      <c r="WMZ1364" s="76"/>
      <c r="WNA1364" s="76"/>
      <c r="WNB1364" s="76"/>
      <c r="WNC1364" s="76"/>
      <c r="WND1364" s="76"/>
      <c r="WNE1364" s="76"/>
      <c r="WNF1364" s="76"/>
      <c r="WNG1364" s="76"/>
      <c r="WNH1364" s="76"/>
      <c r="WNI1364" s="76"/>
      <c r="WNJ1364" s="76"/>
      <c r="WNK1364" s="76"/>
      <c r="WNL1364" s="76"/>
      <c r="WNM1364" s="76"/>
      <c r="WNN1364" s="76"/>
      <c r="WNO1364" s="76"/>
      <c r="WNP1364" s="76"/>
      <c r="WNQ1364" s="76"/>
      <c r="WNR1364" s="76"/>
      <c r="WNS1364" s="76"/>
      <c r="WNT1364" s="76"/>
      <c r="WNU1364" s="76"/>
      <c r="WNV1364" s="76"/>
      <c r="WNW1364" s="76"/>
      <c r="WNX1364" s="76"/>
      <c r="WNY1364" s="76"/>
      <c r="WNZ1364" s="76"/>
      <c r="WOA1364" s="76"/>
      <c r="WOB1364" s="76"/>
      <c r="WOC1364" s="76"/>
      <c r="WOD1364" s="76"/>
      <c r="WOE1364" s="76"/>
      <c r="WOF1364" s="76"/>
      <c r="WOG1364" s="76"/>
      <c r="WOH1364" s="76"/>
      <c r="WOI1364" s="76"/>
      <c r="WOJ1364" s="76"/>
      <c r="WOK1364" s="76"/>
      <c r="WOL1364" s="76"/>
      <c r="WOM1364" s="76"/>
      <c r="WON1364" s="76"/>
      <c r="WOO1364" s="76"/>
      <c r="WOP1364" s="76"/>
      <c r="WOQ1364" s="76"/>
      <c r="WOR1364" s="76"/>
      <c r="WOS1364" s="76"/>
      <c r="WOT1364" s="76"/>
      <c r="WOU1364" s="76"/>
      <c r="WOV1364" s="76"/>
      <c r="WOW1364" s="76"/>
      <c r="WOX1364" s="76"/>
      <c r="WOY1364" s="76"/>
      <c r="WOZ1364" s="76"/>
      <c r="WPA1364" s="76"/>
      <c r="WPB1364" s="76"/>
      <c r="WPC1364" s="76"/>
      <c r="WPD1364" s="76"/>
      <c r="WPE1364" s="76"/>
      <c r="WPF1364" s="76"/>
      <c r="WPG1364" s="76"/>
      <c r="WPH1364" s="76"/>
      <c r="WPI1364" s="76"/>
      <c r="WPJ1364" s="76"/>
      <c r="WPK1364" s="76"/>
      <c r="WPL1364" s="76"/>
      <c r="WPM1364" s="76"/>
      <c r="WPN1364" s="76"/>
      <c r="WPO1364" s="76"/>
      <c r="WPP1364" s="76"/>
      <c r="WPQ1364" s="76"/>
      <c r="WPR1364" s="76"/>
      <c r="WPS1364" s="76"/>
      <c r="WPT1364" s="76"/>
      <c r="WPU1364" s="76"/>
      <c r="WPV1364" s="76"/>
      <c r="WPW1364" s="76"/>
      <c r="WPX1364" s="76"/>
      <c r="WPY1364" s="76"/>
      <c r="WPZ1364" s="76"/>
      <c r="WQA1364" s="76"/>
      <c r="WQB1364" s="76"/>
      <c r="WQC1364" s="76"/>
      <c r="WQD1364" s="76"/>
      <c r="WQE1364" s="76"/>
      <c r="WQF1364" s="76"/>
      <c r="WQG1364" s="76"/>
      <c r="WQH1364" s="76"/>
      <c r="WQI1364" s="76"/>
      <c r="WQJ1364" s="76"/>
      <c r="WQK1364" s="76"/>
      <c r="WQL1364" s="76"/>
      <c r="WQM1364" s="76"/>
      <c r="WQN1364" s="76"/>
      <c r="WQO1364" s="76"/>
      <c r="WQP1364" s="76"/>
      <c r="WQQ1364" s="76"/>
      <c r="WQR1364" s="76"/>
      <c r="WQS1364" s="76"/>
      <c r="WQT1364" s="76"/>
      <c r="WQU1364" s="76"/>
      <c r="WQV1364" s="76"/>
      <c r="WQW1364" s="76"/>
      <c r="WQX1364" s="76"/>
      <c r="WQY1364" s="76"/>
      <c r="WQZ1364" s="76"/>
      <c r="WRA1364" s="76"/>
      <c r="WRB1364" s="76"/>
      <c r="WRC1364" s="76"/>
      <c r="WRD1364" s="76"/>
      <c r="WRE1364" s="76"/>
      <c r="WRF1364" s="76"/>
      <c r="WRG1364" s="76"/>
      <c r="WRH1364" s="76"/>
      <c r="WRI1364" s="76"/>
      <c r="WRJ1364" s="76"/>
      <c r="WRK1364" s="76"/>
      <c r="WRL1364" s="76"/>
      <c r="WRM1364" s="76"/>
      <c r="WRN1364" s="76"/>
      <c r="WRO1364" s="76"/>
      <c r="WRP1364" s="76"/>
      <c r="WRQ1364" s="76"/>
      <c r="WRR1364" s="76"/>
      <c r="WRS1364" s="76"/>
      <c r="WRT1364" s="76"/>
      <c r="WRU1364" s="76"/>
      <c r="WRV1364" s="76"/>
      <c r="WRW1364" s="76"/>
      <c r="WRX1364" s="76"/>
      <c r="WRY1364" s="76"/>
      <c r="WRZ1364" s="76"/>
      <c r="WSA1364" s="76"/>
      <c r="WSB1364" s="76"/>
      <c r="WSC1364" s="76"/>
      <c r="WSD1364" s="76"/>
      <c r="WSE1364" s="76"/>
      <c r="WSF1364" s="76"/>
      <c r="WSG1364" s="76"/>
      <c r="WSH1364" s="76"/>
      <c r="WSI1364" s="76"/>
      <c r="WSJ1364" s="76"/>
      <c r="WSK1364" s="76"/>
      <c r="WSL1364" s="76"/>
      <c r="WSM1364" s="76"/>
      <c r="WSN1364" s="76"/>
      <c r="WSO1364" s="76"/>
      <c r="WSP1364" s="76"/>
      <c r="WSQ1364" s="76"/>
      <c r="WSR1364" s="76"/>
      <c r="WSS1364" s="76"/>
      <c r="WST1364" s="76"/>
      <c r="WSU1364" s="76"/>
      <c r="WSV1364" s="76"/>
      <c r="WSW1364" s="76"/>
      <c r="WSX1364" s="76"/>
      <c r="WSY1364" s="76"/>
      <c r="WSZ1364" s="76"/>
      <c r="WTA1364" s="76"/>
      <c r="WTB1364" s="76"/>
      <c r="WTC1364" s="76"/>
      <c r="WTD1364" s="76"/>
      <c r="WTE1364" s="76"/>
      <c r="WTF1364" s="76"/>
      <c r="WTG1364" s="76"/>
      <c r="WTH1364" s="76"/>
      <c r="WTI1364" s="76"/>
      <c r="WTJ1364" s="76"/>
      <c r="WTK1364" s="76"/>
      <c r="WTL1364" s="76"/>
      <c r="WTM1364" s="76"/>
      <c r="WTN1364" s="76"/>
      <c r="WTO1364" s="76"/>
      <c r="WTP1364" s="76"/>
      <c r="WTQ1364" s="76"/>
      <c r="WTR1364" s="76"/>
      <c r="WTS1364" s="76"/>
      <c r="WTT1364" s="76"/>
      <c r="WTU1364" s="76"/>
      <c r="WTV1364" s="76"/>
      <c r="WTW1364" s="76"/>
      <c r="WTX1364" s="76"/>
      <c r="WTY1364" s="76"/>
      <c r="WTZ1364" s="76"/>
      <c r="WUA1364" s="76"/>
      <c r="WUB1364" s="76"/>
      <c r="WUC1364" s="76"/>
      <c r="WUD1364" s="76"/>
      <c r="WUE1364" s="76"/>
      <c r="WUF1364" s="76"/>
      <c r="WUG1364" s="76"/>
      <c r="WUH1364" s="76"/>
      <c r="WUI1364" s="76"/>
      <c r="WUJ1364" s="76"/>
      <c r="WUK1364" s="76"/>
      <c r="WUL1364" s="76"/>
      <c r="WUM1364" s="76"/>
      <c r="WUN1364" s="76"/>
      <c r="WUO1364" s="76"/>
      <c r="WUP1364" s="76"/>
      <c r="WUQ1364" s="76"/>
      <c r="WUR1364" s="76"/>
      <c r="WUS1364" s="76"/>
      <c r="WUT1364" s="76"/>
      <c r="WUU1364" s="76"/>
      <c r="WUV1364" s="76"/>
      <c r="WUW1364" s="76"/>
      <c r="WUX1364" s="76"/>
      <c r="WUY1364" s="76"/>
      <c r="WUZ1364" s="76"/>
      <c r="WVA1364" s="76"/>
      <c r="WVB1364" s="76"/>
      <c r="WVC1364" s="76"/>
      <c r="WVD1364" s="76"/>
      <c r="WVE1364" s="76"/>
      <c r="WVF1364" s="76"/>
      <c r="WVG1364" s="76"/>
      <c r="WVH1364" s="76"/>
      <c r="WVI1364" s="76"/>
      <c r="WVJ1364" s="76"/>
      <c r="WVK1364" s="76"/>
      <c r="WVL1364" s="76"/>
      <c r="WVM1364" s="50"/>
      <c r="WVN1364" s="76"/>
      <c r="WVO1364" s="76"/>
      <c r="WVP1364" s="76"/>
      <c r="WVQ1364" s="76"/>
      <c r="WVR1364" s="76"/>
      <c r="WVS1364" s="76"/>
      <c r="WVT1364" s="76"/>
      <c r="WVU1364" s="76"/>
      <c r="WVV1364" s="76"/>
      <c r="WVW1364" s="76"/>
      <c r="WVX1364" s="76"/>
      <c r="WVY1364" s="76"/>
      <c r="WVZ1364" s="76"/>
      <c r="WWA1364" s="76"/>
      <c r="WWB1364" s="76"/>
      <c r="WWC1364" s="76"/>
      <c r="WWD1364" s="76"/>
      <c r="WWE1364" s="76"/>
      <c r="WWF1364" s="76"/>
      <c r="WWG1364" s="76"/>
      <c r="WWH1364" s="76"/>
      <c r="WWI1364" s="76"/>
      <c r="WWJ1364" s="76"/>
      <c r="WWK1364" s="76"/>
      <c r="WWL1364" s="76"/>
      <c r="WWM1364" s="76"/>
      <c r="WWN1364" s="76"/>
      <c r="WWO1364" s="76"/>
      <c r="WWP1364" s="76"/>
      <c r="WWQ1364" s="76"/>
      <c r="WWR1364" s="76"/>
      <c r="WWS1364" s="76"/>
      <c r="WWT1364" s="76"/>
      <c r="WWU1364" s="76"/>
      <c r="WWV1364" s="76"/>
      <c r="WWW1364" s="76"/>
      <c r="WWX1364" s="76"/>
      <c r="WWY1364" s="76"/>
      <c r="WWZ1364" s="76"/>
      <c r="WXA1364" s="76"/>
      <c r="WXB1364" s="76"/>
      <c r="WXC1364" s="76"/>
      <c r="WXD1364" s="76"/>
      <c r="WXE1364" s="76"/>
      <c r="WXF1364" s="76"/>
      <c r="WXG1364" s="76"/>
      <c r="WXH1364" s="76"/>
      <c r="WXI1364" s="76"/>
      <c r="WXJ1364" s="76"/>
      <c r="WXK1364" s="76"/>
      <c r="WXL1364" s="76"/>
      <c r="WXM1364" s="76"/>
      <c r="WXN1364" s="76"/>
      <c r="WXO1364" s="76"/>
      <c r="WXP1364" s="76"/>
      <c r="WXQ1364" s="76"/>
      <c r="WXR1364" s="76"/>
      <c r="WXS1364" s="76"/>
      <c r="WXT1364" s="76"/>
      <c r="WXU1364" s="76"/>
      <c r="WXV1364" s="76"/>
      <c r="WXW1364" s="76"/>
      <c r="WXX1364" s="76"/>
      <c r="WXY1364" s="76"/>
      <c r="WXZ1364" s="76"/>
      <c r="WYA1364" s="76"/>
      <c r="WYB1364" s="76"/>
      <c r="WYC1364" s="76"/>
      <c r="WYD1364" s="76"/>
      <c r="WYE1364" s="76"/>
      <c r="WYF1364" s="76"/>
      <c r="WYG1364" s="76"/>
      <c r="WYH1364" s="76"/>
      <c r="WYI1364" s="76"/>
      <c r="WYJ1364" s="76"/>
      <c r="WYK1364" s="76"/>
      <c r="WYL1364" s="76"/>
      <c r="WYM1364" s="76"/>
      <c r="WYN1364" s="76"/>
      <c r="WYO1364" s="76"/>
      <c r="WYP1364" s="76"/>
      <c r="WYQ1364" s="76"/>
      <c r="WYR1364" s="76"/>
      <c r="WYS1364" s="76"/>
      <c r="WYT1364" s="76"/>
      <c r="WYU1364" s="76"/>
      <c r="WYV1364" s="76"/>
      <c r="WYW1364" s="76"/>
      <c r="WYX1364" s="76"/>
      <c r="WYY1364" s="76"/>
      <c r="WYZ1364" s="76"/>
      <c r="WZA1364" s="76"/>
      <c r="WZB1364" s="76"/>
      <c r="WZC1364" s="76"/>
      <c r="WZD1364" s="76"/>
      <c r="WZE1364" s="76"/>
      <c r="WZF1364" s="76"/>
      <c r="WZG1364" s="76"/>
      <c r="WZH1364" s="76"/>
      <c r="WZI1364" s="76"/>
      <c r="WZJ1364" s="76"/>
      <c r="WZK1364" s="76"/>
      <c r="WZL1364" s="76"/>
      <c r="WZM1364" s="76"/>
      <c r="WZN1364" s="76"/>
      <c r="WZO1364" s="76"/>
      <c r="WZP1364" s="76"/>
      <c r="WZQ1364" s="76"/>
      <c r="WZR1364" s="76"/>
      <c r="WZS1364" s="76"/>
      <c r="WZT1364" s="76"/>
      <c r="WZU1364" s="76"/>
      <c r="WZV1364" s="76"/>
      <c r="WZW1364" s="76"/>
      <c r="WZX1364" s="76"/>
      <c r="WZY1364" s="76"/>
      <c r="WZZ1364" s="76"/>
      <c r="XAA1364" s="76"/>
      <c r="XAB1364" s="76"/>
      <c r="XAC1364" s="76"/>
      <c r="XAD1364" s="76"/>
      <c r="XAE1364" s="76"/>
      <c r="XAF1364" s="76"/>
      <c r="XAG1364" s="76"/>
      <c r="XAH1364" s="76"/>
      <c r="XAI1364" s="76"/>
      <c r="XAJ1364" s="76"/>
      <c r="XAK1364" s="76"/>
      <c r="XAL1364" s="76"/>
      <c r="XAM1364" s="76"/>
      <c r="XAN1364" s="76"/>
      <c r="XAO1364" s="76"/>
      <c r="XAP1364" s="76"/>
      <c r="XAQ1364" s="76"/>
      <c r="XAR1364" s="76"/>
      <c r="XAS1364" s="76"/>
      <c r="XAT1364" s="76"/>
      <c r="XAU1364" s="76"/>
      <c r="XAV1364" s="76"/>
      <c r="XAW1364" s="76"/>
      <c r="XAX1364" s="76"/>
      <c r="XAY1364" s="76"/>
      <c r="XAZ1364" s="76"/>
      <c r="XBA1364" s="76"/>
      <c r="XBB1364" s="76"/>
      <c r="XBC1364" s="76"/>
      <c r="XBD1364" s="76"/>
      <c r="XBE1364" s="76"/>
      <c r="XBF1364" s="76"/>
      <c r="XBG1364" s="76"/>
      <c r="XBH1364" s="76"/>
      <c r="XBI1364" s="76"/>
      <c r="XBJ1364" s="76"/>
      <c r="XBK1364" s="76"/>
      <c r="XBL1364" s="76"/>
      <c r="XBM1364" s="76"/>
      <c r="XBN1364" s="76"/>
      <c r="XBO1364" s="76"/>
      <c r="XBP1364" s="76"/>
      <c r="XBQ1364" s="76"/>
      <c r="XBR1364" s="76"/>
      <c r="XBS1364" s="76"/>
      <c r="XBT1364" s="76"/>
      <c r="XBU1364" s="76"/>
      <c r="XBV1364" s="76"/>
      <c r="XBW1364" s="76"/>
      <c r="XBX1364" s="76"/>
      <c r="XBY1364" s="76"/>
      <c r="XBZ1364" s="76"/>
      <c r="XCA1364" s="76"/>
      <c r="XCB1364" s="76"/>
      <c r="XCC1364" s="76"/>
      <c r="XCD1364" s="76"/>
      <c r="XCE1364" s="76"/>
      <c r="XCF1364" s="76"/>
      <c r="XCG1364" s="76"/>
      <c r="XCH1364" s="76"/>
      <c r="XCI1364" s="76"/>
      <c r="XCJ1364" s="76"/>
      <c r="XCK1364" s="76"/>
      <c r="XCL1364" s="76"/>
      <c r="XCM1364" s="76"/>
      <c r="XCN1364" s="76"/>
      <c r="XCO1364" s="76"/>
      <c r="XCP1364" s="76"/>
      <c r="XCQ1364" s="76"/>
      <c r="XCR1364" s="76"/>
      <c r="XCS1364" s="76"/>
      <c r="XCT1364" s="76"/>
      <c r="XCU1364" s="76"/>
      <c r="XCV1364" s="76"/>
      <c r="XCW1364" s="76"/>
      <c r="XCX1364" s="76"/>
      <c r="XCY1364" s="76"/>
      <c r="XCZ1364" s="76"/>
      <c r="XDA1364" s="76"/>
      <c r="XDB1364" s="76"/>
      <c r="XDC1364" s="76"/>
      <c r="XDD1364" s="76"/>
      <c r="XDE1364" s="76"/>
      <c r="XDF1364" s="76"/>
      <c r="XDG1364" s="76"/>
      <c r="XDH1364" s="76"/>
      <c r="XDI1364" s="76"/>
      <c r="XDJ1364" s="76"/>
      <c r="XDK1364" s="76"/>
      <c r="XDL1364" s="76"/>
      <c r="XDM1364" s="76"/>
      <c r="XDN1364" s="76"/>
      <c r="XDO1364" s="76"/>
      <c r="XDP1364" s="76"/>
      <c r="XDQ1364" s="76"/>
      <c r="XDR1364" s="76"/>
      <c r="XDS1364" s="76"/>
      <c r="XDT1364" s="76"/>
      <c r="XDU1364" s="76"/>
      <c r="XDV1364" s="76"/>
      <c r="XDW1364" s="76"/>
      <c r="XDX1364" s="76"/>
      <c r="XDY1364" s="76"/>
      <c r="XDZ1364" s="76"/>
      <c r="XEA1364" s="76"/>
      <c r="XEB1364" s="76"/>
      <c r="XEC1364" s="76"/>
      <c r="XED1364" s="76"/>
      <c r="XEE1364" s="76"/>
      <c r="XEF1364" s="76"/>
      <c r="XEG1364" s="76"/>
      <c r="XEH1364" s="76"/>
      <c r="XEI1364" s="76"/>
      <c r="XEJ1364" s="76"/>
      <c r="XEK1364" s="76"/>
      <c r="XEL1364" s="76"/>
      <c r="XEM1364" s="76"/>
      <c r="XEN1364" s="76"/>
      <c r="XEO1364" s="76"/>
      <c r="XEP1364" s="76"/>
      <c r="XEQ1364" s="76"/>
      <c r="XER1364" s="76"/>
      <c r="XES1364" s="76"/>
      <c r="XET1364" s="76"/>
      <c r="XEU1364" s="76"/>
      <c r="XEV1364" s="76"/>
      <c r="XEW1364" s="76"/>
      <c r="XEX1364" s="76"/>
      <c r="XEY1364" s="76"/>
      <c r="XEZ1364" s="76"/>
      <c r="XFA1364" s="76"/>
      <c r="XFB1364" s="76"/>
    </row>
    <row r="1365" s="18" customFormat="1" spans="1:16382">
      <c r="A1365" s="76" t="s">
        <v>237</v>
      </c>
      <c r="B1365" s="83">
        <v>22</v>
      </c>
      <c r="C1365" s="74" t="s">
        <v>235</v>
      </c>
      <c r="D1365" s="83" t="s">
        <v>7</v>
      </c>
      <c r="E1365" s="74"/>
      <c r="F1365" s="83">
        <v>1</v>
      </c>
      <c r="G1365" s="76"/>
      <c r="H1365" s="76"/>
      <c r="I1365" s="76"/>
      <c r="J1365" s="76"/>
      <c r="K1365" s="76"/>
      <c r="L1365" s="76"/>
      <c r="M1365" s="76"/>
      <c r="N1365" s="76"/>
      <c r="O1365" s="76"/>
      <c r="P1365" s="76"/>
      <c r="Q1365" s="76"/>
      <c r="R1365" s="76"/>
      <c r="S1365" s="76"/>
      <c r="T1365" s="76"/>
      <c r="U1365" s="76"/>
      <c r="V1365" s="76"/>
      <c r="W1365" s="76"/>
      <c r="X1365" s="76"/>
      <c r="Y1365" s="76"/>
      <c r="Z1365" s="76"/>
      <c r="AA1365" s="76"/>
      <c r="AB1365" s="76"/>
      <c r="AC1365" s="76"/>
      <c r="AD1365" s="76"/>
      <c r="AE1365" s="76"/>
      <c r="AF1365" s="76"/>
      <c r="AG1365" s="76"/>
      <c r="AH1365" s="76"/>
      <c r="AI1365" s="76"/>
      <c r="AJ1365" s="76"/>
      <c r="AK1365" s="76"/>
      <c r="AL1365" s="76"/>
      <c r="AM1365" s="76"/>
      <c r="AN1365" s="76"/>
      <c r="AO1365" s="76"/>
      <c r="AP1365" s="76"/>
      <c r="AQ1365" s="76"/>
      <c r="AR1365" s="76"/>
      <c r="AS1365" s="76"/>
      <c r="AT1365" s="76"/>
      <c r="AU1365" s="76"/>
      <c r="AV1365" s="76"/>
      <c r="AW1365" s="76"/>
      <c r="AX1365" s="76"/>
      <c r="AY1365" s="76"/>
      <c r="AZ1365" s="76"/>
      <c r="BA1365" s="76"/>
      <c r="BB1365" s="76"/>
      <c r="BC1365" s="76"/>
      <c r="BD1365" s="76"/>
      <c r="BE1365" s="76"/>
      <c r="BF1365" s="76"/>
      <c r="BG1365" s="76"/>
      <c r="BH1365" s="76"/>
      <c r="BI1365" s="76"/>
      <c r="BJ1365" s="76"/>
      <c r="BK1365" s="76"/>
      <c r="BL1365" s="76"/>
      <c r="BM1365" s="76"/>
      <c r="BN1365" s="76"/>
      <c r="BO1365" s="76"/>
      <c r="BP1365" s="76"/>
      <c r="BQ1365" s="76"/>
      <c r="BR1365" s="76"/>
      <c r="BS1365" s="76"/>
      <c r="BT1365" s="76"/>
      <c r="BU1365" s="76"/>
      <c r="BV1365" s="76"/>
      <c r="BW1365" s="76"/>
      <c r="BX1365" s="76"/>
      <c r="BY1365" s="76"/>
      <c r="BZ1365" s="76"/>
      <c r="CA1365" s="76"/>
      <c r="CB1365" s="76"/>
      <c r="CC1365" s="76"/>
      <c r="CD1365" s="76"/>
      <c r="CE1365" s="76"/>
      <c r="CF1365" s="76"/>
      <c r="CG1365" s="76"/>
      <c r="CH1365" s="76"/>
      <c r="CI1365" s="76"/>
      <c r="CJ1365" s="76"/>
      <c r="CK1365" s="76"/>
      <c r="CL1365" s="76"/>
      <c r="CM1365" s="76"/>
      <c r="CN1365" s="76"/>
      <c r="CO1365" s="76"/>
      <c r="CP1365" s="76"/>
      <c r="CQ1365" s="76"/>
      <c r="CR1365" s="76"/>
      <c r="CS1365" s="76"/>
      <c r="CT1365" s="76"/>
      <c r="CU1365" s="76"/>
      <c r="CV1365" s="76"/>
      <c r="CW1365" s="76"/>
      <c r="CX1365" s="76"/>
      <c r="CY1365" s="76"/>
      <c r="CZ1365" s="76"/>
      <c r="DA1365" s="76"/>
      <c r="DB1365" s="76"/>
      <c r="DC1365" s="76"/>
      <c r="DD1365" s="76"/>
      <c r="DE1365" s="76"/>
      <c r="DF1365" s="76"/>
      <c r="DG1365" s="76"/>
      <c r="DH1365" s="76"/>
      <c r="DI1365" s="76"/>
      <c r="DJ1365" s="76"/>
      <c r="DK1365" s="76"/>
      <c r="DL1365" s="76"/>
      <c r="DM1365" s="76"/>
      <c r="DN1365" s="76"/>
      <c r="DO1365" s="76"/>
      <c r="DP1365" s="76"/>
      <c r="DQ1365" s="76"/>
      <c r="DR1365" s="76"/>
      <c r="DS1365" s="76"/>
      <c r="DT1365" s="76"/>
      <c r="DU1365" s="76"/>
      <c r="DV1365" s="76"/>
      <c r="DW1365" s="76"/>
      <c r="DX1365" s="76"/>
      <c r="DY1365" s="76"/>
      <c r="DZ1365" s="76"/>
      <c r="EA1365" s="76"/>
      <c r="EB1365" s="76"/>
      <c r="EC1365" s="76"/>
      <c r="ED1365" s="76"/>
      <c r="EE1365" s="76"/>
      <c r="EF1365" s="76"/>
      <c r="EG1365" s="76"/>
      <c r="EH1365" s="76"/>
      <c r="EI1365" s="76"/>
      <c r="EJ1365" s="76"/>
      <c r="EK1365" s="76"/>
      <c r="EL1365" s="76"/>
      <c r="EM1365" s="76"/>
      <c r="EN1365" s="76"/>
      <c r="EO1365" s="76"/>
      <c r="EP1365" s="76"/>
      <c r="EQ1365" s="76"/>
      <c r="ER1365" s="76"/>
      <c r="ES1365" s="76"/>
      <c r="ET1365" s="76"/>
      <c r="EU1365" s="76"/>
      <c r="EV1365" s="76"/>
      <c r="EW1365" s="76"/>
      <c r="EX1365" s="76"/>
      <c r="EY1365" s="76"/>
      <c r="EZ1365" s="76"/>
      <c r="FA1365" s="76"/>
      <c r="FB1365" s="76"/>
      <c r="FC1365" s="76"/>
      <c r="FD1365" s="76"/>
      <c r="FE1365" s="76"/>
      <c r="FF1365" s="76"/>
      <c r="FG1365" s="76"/>
      <c r="FH1365" s="76"/>
      <c r="FI1365" s="76"/>
      <c r="FJ1365" s="76"/>
      <c r="FK1365" s="76"/>
      <c r="FL1365" s="76"/>
      <c r="FM1365" s="76"/>
      <c r="FN1365" s="76"/>
      <c r="FO1365" s="76"/>
      <c r="FP1365" s="76"/>
      <c r="FQ1365" s="76"/>
      <c r="FR1365" s="76"/>
      <c r="FS1365" s="76"/>
      <c r="FT1365" s="76"/>
      <c r="FU1365" s="76"/>
      <c r="FV1365" s="76"/>
      <c r="FW1365" s="76"/>
      <c r="FX1365" s="76"/>
      <c r="FY1365" s="76"/>
      <c r="FZ1365" s="76"/>
      <c r="GA1365" s="76"/>
      <c r="GB1365" s="76"/>
      <c r="GC1365" s="76"/>
      <c r="GD1365" s="76"/>
      <c r="GE1365" s="76"/>
      <c r="GF1365" s="76"/>
      <c r="GG1365" s="76"/>
      <c r="GH1365" s="76"/>
      <c r="GI1365" s="76"/>
      <c r="GJ1365" s="76"/>
      <c r="GK1365" s="76"/>
      <c r="GL1365" s="76"/>
      <c r="GM1365" s="76"/>
      <c r="GN1365" s="76"/>
      <c r="GO1365" s="76"/>
      <c r="GP1365" s="76"/>
      <c r="GQ1365" s="76"/>
      <c r="GR1365" s="76"/>
      <c r="GS1365" s="76"/>
      <c r="GT1365" s="76"/>
      <c r="GU1365" s="76"/>
      <c r="GV1365" s="76"/>
      <c r="GW1365" s="76"/>
      <c r="GX1365" s="76"/>
      <c r="GY1365" s="76"/>
      <c r="GZ1365" s="76"/>
      <c r="HA1365" s="76"/>
      <c r="HB1365" s="76"/>
      <c r="HC1365" s="76"/>
      <c r="HD1365" s="76"/>
      <c r="HE1365" s="76"/>
      <c r="HF1365" s="76"/>
      <c r="HG1365" s="76"/>
      <c r="HH1365" s="76"/>
      <c r="HI1365" s="76"/>
      <c r="HJ1365" s="76"/>
      <c r="HK1365" s="76"/>
      <c r="HL1365" s="76"/>
      <c r="HM1365" s="76"/>
      <c r="HN1365" s="76"/>
      <c r="HO1365" s="76"/>
      <c r="HP1365" s="76"/>
      <c r="HQ1365" s="76"/>
      <c r="HR1365" s="76"/>
      <c r="HS1365" s="76"/>
      <c r="HT1365" s="76"/>
      <c r="HU1365" s="76"/>
      <c r="HV1365" s="76"/>
      <c r="HW1365" s="76"/>
      <c r="HX1365" s="76"/>
      <c r="HY1365" s="76"/>
      <c r="HZ1365" s="76"/>
      <c r="IA1365" s="76"/>
      <c r="IB1365" s="76"/>
      <c r="IC1365" s="76"/>
      <c r="ID1365" s="76"/>
      <c r="IE1365" s="76"/>
      <c r="IF1365" s="76"/>
      <c r="IG1365" s="76"/>
      <c r="IH1365" s="76"/>
      <c r="II1365" s="76"/>
      <c r="IJ1365" s="76"/>
      <c r="IK1365" s="76"/>
      <c r="IL1365" s="76"/>
      <c r="IM1365" s="76"/>
      <c r="IN1365" s="76"/>
      <c r="IO1365" s="76"/>
      <c r="IP1365" s="76"/>
      <c r="IQ1365" s="76"/>
      <c r="IR1365" s="76"/>
      <c r="IS1365" s="76"/>
      <c r="IT1365" s="76"/>
      <c r="IU1365" s="76"/>
      <c r="IV1365" s="76"/>
      <c r="IW1365" s="76"/>
      <c r="IX1365" s="76"/>
      <c r="IY1365" s="76"/>
      <c r="IZ1365" s="76"/>
      <c r="JA1365" s="50"/>
      <c r="JB1365" s="76"/>
      <c r="JC1365" s="76"/>
      <c r="JD1365" s="76"/>
      <c r="JE1365" s="76"/>
      <c r="JF1365" s="76"/>
      <c r="JG1365" s="76"/>
      <c r="JH1365" s="76"/>
      <c r="JI1365" s="76"/>
      <c r="JJ1365" s="76"/>
      <c r="JK1365" s="76"/>
      <c r="JL1365" s="76"/>
      <c r="JM1365" s="76"/>
      <c r="JN1365" s="76"/>
      <c r="JO1365" s="76"/>
      <c r="JP1365" s="76"/>
      <c r="JQ1365" s="76"/>
      <c r="JR1365" s="76"/>
      <c r="JS1365" s="76"/>
      <c r="JT1365" s="76"/>
      <c r="JU1365" s="76"/>
      <c r="JV1365" s="76"/>
      <c r="JW1365" s="76"/>
      <c r="JX1365" s="76"/>
      <c r="JY1365" s="76"/>
      <c r="JZ1365" s="76"/>
      <c r="KA1365" s="76"/>
      <c r="KB1365" s="76"/>
      <c r="KC1365" s="76"/>
      <c r="KD1365" s="76"/>
      <c r="KE1365" s="76"/>
      <c r="KF1365" s="76"/>
      <c r="KG1365" s="76"/>
      <c r="KH1365" s="76"/>
      <c r="KI1365" s="76"/>
      <c r="KJ1365" s="76"/>
      <c r="KK1365" s="76"/>
      <c r="KL1365" s="76"/>
      <c r="KM1365" s="76"/>
      <c r="KN1365" s="76"/>
      <c r="KO1365" s="76"/>
      <c r="KP1365" s="76"/>
      <c r="KQ1365" s="76"/>
      <c r="KR1365" s="76"/>
      <c r="KS1365" s="76"/>
      <c r="KT1365" s="76"/>
      <c r="KU1365" s="76"/>
      <c r="KV1365" s="76"/>
      <c r="KW1365" s="76"/>
      <c r="KX1365" s="76"/>
      <c r="KY1365" s="76"/>
      <c r="KZ1365" s="76"/>
      <c r="LA1365" s="76"/>
      <c r="LB1365" s="76"/>
      <c r="LC1365" s="76"/>
      <c r="LD1365" s="76"/>
      <c r="LE1365" s="76"/>
      <c r="LF1365" s="76"/>
      <c r="LG1365" s="76"/>
      <c r="LH1365" s="76"/>
      <c r="LI1365" s="76"/>
      <c r="LJ1365" s="76"/>
      <c r="LK1365" s="76"/>
      <c r="LL1365" s="76"/>
      <c r="LM1365" s="76"/>
      <c r="LN1365" s="76"/>
      <c r="LO1365" s="76"/>
      <c r="LP1365" s="76"/>
      <c r="LQ1365" s="76"/>
      <c r="LR1365" s="76"/>
      <c r="LS1365" s="76"/>
      <c r="LT1365" s="76"/>
      <c r="LU1365" s="76"/>
      <c r="LV1365" s="76"/>
      <c r="LW1365" s="76"/>
      <c r="LX1365" s="76"/>
      <c r="LY1365" s="76"/>
      <c r="LZ1365" s="76"/>
      <c r="MA1365" s="76"/>
      <c r="MB1365" s="76"/>
      <c r="MC1365" s="76"/>
      <c r="MD1365" s="76"/>
      <c r="ME1365" s="76"/>
      <c r="MF1365" s="76"/>
      <c r="MG1365" s="76"/>
      <c r="MH1365" s="76"/>
      <c r="MI1365" s="76"/>
      <c r="MJ1365" s="76"/>
      <c r="MK1365" s="76"/>
      <c r="ML1365" s="76"/>
      <c r="MM1365" s="76"/>
      <c r="MN1365" s="76"/>
      <c r="MO1365" s="76"/>
      <c r="MP1365" s="76"/>
      <c r="MQ1365" s="76"/>
      <c r="MR1365" s="76"/>
      <c r="MS1365" s="76"/>
      <c r="MT1365" s="76"/>
      <c r="MU1365" s="76"/>
      <c r="MV1365" s="76"/>
      <c r="MW1365" s="76"/>
      <c r="MX1365" s="76"/>
      <c r="MY1365" s="76"/>
      <c r="MZ1365" s="76"/>
      <c r="NA1365" s="76"/>
      <c r="NB1365" s="76"/>
      <c r="NC1365" s="76"/>
      <c r="ND1365" s="76"/>
      <c r="NE1365" s="76"/>
      <c r="NF1365" s="76"/>
      <c r="NG1365" s="76"/>
      <c r="NH1365" s="76"/>
      <c r="NI1365" s="76"/>
      <c r="NJ1365" s="76"/>
      <c r="NK1365" s="76"/>
      <c r="NL1365" s="76"/>
      <c r="NM1365" s="76"/>
      <c r="NN1365" s="76"/>
      <c r="NO1365" s="76"/>
      <c r="NP1365" s="76"/>
      <c r="NQ1365" s="76"/>
      <c r="NR1365" s="76"/>
      <c r="NS1365" s="76"/>
      <c r="NT1365" s="76"/>
      <c r="NU1365" s="76"/>
      <c r="NV1365" s="76"/>
      <c r="NW1365" s="76"/>
      <c r="NX1365" s="76"/>
      <c r="NY1365" s="76"/>
      <c r="NZ1365" s="76"/>
      <c r="OA1365" s="76"/>
      <c r="OB1365" s="76"/>
      <c r="OC1365" s="76"/>
      <c r="OD1365" s="76"/>
      <c r="OE1365" s="76"/>
      <c r="OF1365" s="76"/>
      <c r="OG1365" s="76"/>
      <c r="OH1365" s="76"/>
      <c r="OI1365" s="76"/>
      <c r="OJ1365" s="76"/>
      <c r="OK1365" s="76"/>
      <c r="OL1365" s="76"/>
      <c r="OM1365" s="76"/>
      <c r="ON1365" s="76"/>
      <c r="OO1365" s="76"/>
      <c r="OP1365" s="76"/>
      <c r="OQ1365" s="76"/>
      <c r="OR1365" s="76"/>
      <c r="OS1365" s="76"/>
      <c r="OT1365" s="76"/>
      <c r="OU1365" s="76"/>
      <c r="OV1365" s="76"/>
      <c r="OW1365" s="76"/>
      <c r="OX1365" s="76"/>
      <c r="OY1365" s="76"/>
      <c r="OZ1365" s="76"/>
      <c r="PA1365" s="76"/>
      <c r="PB1365" s="76"/>
      <c r="PC1365" s="76"/>
      <c r="PD1365" s="76"/>
      <c r="PE1365" s="76"/>
      <c r="PF1365" s="76"/>
      <c r="PG1365" s="76"/>
      <c r="PH1365" s="76"/>
      <c r="PI1365" s="76"/>
      <c r="PJ1365" s="76"/>
      <c r="PK1365" s="76"/>
      <c r="PL1365" s="76"/>
      <c r="PM1365" s="76"/>
      <c r="PN1365" s="76"/>
      <c r="PO1365" s="76"/>
      <c r="PP1365" s="76"/>
      <c r="PQ1365" s="76"/>
      <c r="PR1365" s="76"/>
      <c r="PS1365" s="76"/>
      <c r="PT1365" s="76"/>
      <c r="PU1365" s="76"/>
      <c r="PV1365" s="76"/>
      <c r="PW1365" s="76"/>
      <c r="PX1365" s="76"/>
      <c r="PY1365" s="76"/>
      <c r="PZ1365" s="76"/>
      <c r="QA1365" s="76"/>
      <c r="QB1365" s="76"/>
      <c r="QC1365" s="76"/>
      <c r="QD1365" s="76"/>
      <c r="QE1365" s="76"/>
      <c r="QF1365" s="76"/>
      <c r="QG1365" s="76"/>
      <c r="QH1365" s="76"/>
      <c r="QI1365" s="76"/>
      <c r="QJ1365" s="76"/>
      <c r="QK1365" s="76"/>
      <c r="QL1365" s="76"/>
      <c r="QM1365" s="76"/>
      <c r="QN1365" s="76"/>
      <c r="QO1365" s="76"/>
      <c r="QP1365" s="76"/>
      <c r="QQ1365" s="76"/>
      <c r="QR1365" s="76"/>
      <c r="QS1365" s="76"/>
      <c r="QT1365" s="76"/>
      <c r="QU1365" s="76"/>
      <c r="QV1365" s="76"/>
      <c r="QW1365" s="76"/>
      <c r="QX1365" s="76"/>
      <c r="QY1365" s="76"/>
      <c r="QZ1365" s="76"/>
      <c r="RA1365" s="76"/>
      <c r="RB1365" s="76"/>
      <c r="RC1365" s="76"/>
      <c r="RD1365" s="76"/>
      <c r="RE1365" s="76"/>
      <c r="RF1365" s="76"/>
      <c r="RG1365" s="76"/>
      <c r="RH1365" s="76"/>
      <c r="RI1365" s="76"/>
      <c r="RJ1365" s="76"/>
      <c r="RK1365" s="76"/>
      <c r="RL1365" s="76"/>
      <c r="RM1365" s="76"/>
      <c r="RN1365" s="76"/>
      <c r="RO1365" s="76"/>
      <c r="RP1365" s="76"/>
      <c r="RQ1365" s="76"/>
      <c r="RR1365" s="76"/>
      <c r="RS1365" s="76"/>
      <c r="RT1365" s="76"/>
      <c r="RU1365" s="76"/>
      <c r="RV1365" s="76"/>
      <c r="RW1365" s="76"/>
      <c r="RX1365" s="76"/>
      <c r="RY1365" s="76"/>
      <c r="RZ1365" s="76"/>
      <c r="SA1365" s="76"/>
      <c r="SB1365" s="76"/>
      <c r="SC1365" s="76"/>
      <c r="SD1365" s="76"/>
      <c r="SE1365" s="76"/>
      <c r="SF1365" s="76"/>
      <c r="SG1365" s="76"/>
      <c r="SH1365" s="76"/>
      <c r="SI1365" s="76"/>
      <c r="SJ1365" s="76"/>
      <c r="SK1365" s="76"/>
      <c r="SL1365" s="76"/>
      <c r="SM1365" s="76"/>
      <c r="SN1365" s="76"/>
      <c r="SO1365" s="76"/>
      <c r="SP1365" s="76"/>
      <c r="SQ1365" s="76"/>
      <c r="SR1365" s="76"/>
      <c r="SS1365" s="76"/>
      <c r="ST1365" s="76"/>
      <c r="SU1365" s="76"/>
      <c r="SV1365" s="76"/>
      <c r="SW1365" s="50"/>
      <c r="SX1365" s="76"/>
      <c r="SY1365" s="76"/>
      <c r="SZ1365" s="76"/>
      <c r="TA1365" s="76"/>
      <c r="TB1365" s="76"/>
      <c r="TC1365" s="76"/>
      <c r="TD1365" s="76"/>
      <c r="TE1365" s="76"/>
      <c r="TF1365" s="76"/>
      <c r="TG1365" s="76"/>
      <c r="TH1365" s="76"/>
      <c r="TI1365" s="76"/>
      <c r="TJ1365" s="76"/>
      <c r="TK1365" s="76"/>
      <c r="TL1365" s="76"/>
      <c r="TM1365" s="76"/>
      <c r="TN1365" s="76"/>
      <c r="TO1365" s="76"/>
      <c r="TP1365" s="76"/>
      <c r="TQ1365" s="76"/>
      <c r="TR1365" s="76"/>
      <c r="TS1365" s="76"/>
      <c r="TT1365" s="76"/>
      <c r="TU1365" s="76"/>
      <c r="TV1365" s="76"/>
      <c r="TW1365" s="76"/>
      <c r="TX1365" s="76"/>
      <c r="TY1365" s="76"/>
      <c r="TZ1365" s="76"/>
      <c r="UA1365" s="76"/>
      <c r="UB1365" s="76"/>
      <c r="UC1365" s="76"/>
      <c r="UD1365" s="76"/>
      <c r="UE1365" s="76"/>
      <c r="UF1365" s="76"/>
      <c r="UG1365" s="76"/>
      <c r="UH1365" s="76"/>
      <c r="UI1365" s="76"/>
      <c r="UJ1365" s="76"/>
      <c r="UK1365" s="76"/>
      <c r="UL1365" s="76"/>
      <c r="UM1365" s="76"/>
      <c r="UN1365" s="76"/>
      <c r="UO1365" s="76"/>
      <c r="UP1365" s="76"/>
      <c r="UQ1365" s="76"/>
      <c r="UR1365" s="76"/>
      <c r="US1365" s="76"/>
      <c r="UT1365" s="76"/>
      <c r="UU1365" s="76"/>
      <c r="UV1365" s="76"/>
      <c r="UW1365" s="76"/>
      <c r="UX1365" s="76"/>
      <c r="UY1365" s="76"/>
      <c r="UZ1365" s="76"/>
      <c r="VA1365" s="76"/>
      <c r="VB1365" s="76"/>
      <c r="VC1365" s="76"/>
      <c r="VD1365" s="76"/>
      <c r="VE1365" s="76"/>
      <c r="VF1365" s="76"/>
      <c r="VG1365" s="76"/>
      <c r="VH1365" s="76"/>
      <c r="VI1365" s="76"/>
      <c r="VJ1365" s="76"/>
      <c r="VK1365" s="76"/>
      <c r="VL1365" s="76"/>
      <c r="VM1365" s="76"/>
      <c r="VN1365" s="76"/>
      <c r="VO1365" s="76"/>
      <c r="VP1365" s="76"/>
      <c r="VQ1365" s="76"/>
      <c r="VR1365" s="76"/>
      <c r="VS1365" s="76"/>
      <c r="VT1365" s="76"/>
      <c r="VU1365" s="76"/>
      <c r="VV1365" s="76"/>
      <c r="VW1365" s="76"/>
      <c r="VX1365" s="76"/>
      <c r="VY1365" s="76"/>
      <c r="VZ1365" s="76"/>
      <c r="WA1365" s="76"/>
      <c r="WB1365" s="76"/>
      <c r="WC1365" s="76"/>
      <c r="WD1365" s="76"/>
      <c r="WE1365" s="76"/>
      <c r="WF1365" s="76"/>
      <c r="WG1365" s="76"/>
      <c r="WH1365" s="76"/>
      <c r="WI1365" s="76"/>
      <c r="WJ1365" s="76"/>
      <c r="WK1365" s="76"/>
      <c r="WL1365" s="76"/>
      <c r="WM1365" s="76"/>
      <c r="WN1365" s="76"/>
      <c r="WO1365" s="76"/>
      <c r="WP1365" s="76"/>
      <c r="WQ1365" s="76"/>
      <c r="WR1365" s="76"/>
      <c r="WS1365" s="76"/>
      <c r="WT1365" s="76"/>
      <c r="WU1365" s="76"/>
      <c r="WV1365" s="76"/>
      <c r="WW1365" s="76"/>
      <c r="WX1365" s="76"/>
      <c r="WY1365" s="76"/>
      <c r="WZ1365" s="76"/>
      <c r="XA1365" s="76"/>
      <c r="XB1365" s="76"/>
      <c r="XC1365" s="76"/>
      <c r="XD1365" s="76"/>
      <c r="XE1365" s="76"/>
      <c r="XF1365" s="76"/>
      <c r="XG1365" s="76"/>
      <c r="XH1365" s="76"/>
      <c r="XI1365" s="76"/>
      <c r="XJ1365" s="76"/>
      <c r="XK1365" s="76"/>
      <c r="XL1365" s="76"/>
      <c r="XM1365" s="76"/>
      <c r="XN1365" s="76"/>
      <c r="XO1365" s="76"/>
      <c r="XP1365" s="76"/>
      <c r="XQ1365" s="76"/>
      <c r="XR1365" s="76"/>
      <c r="XS1365" s="76"/>
      <c r="XT1365" s="76"/>
      <c r="XU1365" s="76"/>
      <c r="XV1365" s="76"/>
      <c r="XW1365" s="76"/>
      <c r="XX1365" s="76"/>
      <c r="XY1365" s="76"/>
      <c r="XZ1365" s="76"/>
      <c r="YA1365" s="76"/>
      <c r="YB1365" s="76"/>
      <c r="YC1365" s="76"/>
      <c r="YD1365" s="76"/>
      <c r="YE1365" s="76"/>
      <c r="YF1365" s="76"/>
      <c r="YG1365" s="76"/>
      <c r="YH1365" s="76"/>
      <c r="YI1365" s="76"/>
      <c r="YJ1365" s="76"/>
      <c r="YK1365" s="76"/>
      <c r="YL1365" s="76"/>
      <c r="YM1365" s="76"/>
      <c r="YN1365" s="76"/>
      <c r="YO1365" s="76"/>
      <c r="YP1365" s="76"/>
      <c r="YQ1365" s="76"/>
      <c r="YR1365" s="76"/>
      <c r="YS1365" s="76"/>
      <c r="YT1365" s="76"/>
      <c r="YU1365" s="76"/>
      <c r="YV1365" s="76"/>
      <c r="YW1365" s="76"/>
      <c r="YX1365" s="76"/>
      <c r="YY1365" s="76"/>
      <c r="YZ1365" s="76"/>
      <c r="ZA1365" s="76"/>
      <c r="ZB1365" s="76"/>
      <c r="ZC1365" s="76"/>
      <c r="ZD1365" s="76"/>
      <c r="ZE1365" s="76"/>
      <c r="ZF1365" s="76"/>
      <c r="ZG1365" s="76"/>
      <c r="ZH1365" s="76"/>
      <c r="ZI1365" s="76"/>
      <c r="ZJ1365" s="76"/>
      <c r="ZK1365" s="76"/>
      <c r="ZL1365" s="76"/>
      <c r="ZM1365" s="76"/>
      <c r="ZN1365" s="76"/>
      <c r="ZO1365" s="76"/>
      <c r="ZP1365" s="76"/>
      <c r="ZQ1365" s="76"/>
      <c r="ZR1365" s="76"/>
      <c r="ZS1365" s="76"/>
      <c r="ZT1365" s="76"/>
      <c r="ZU1365" s="76"/>
      <c r="ZV1365" s="76"/>
      <c r="ZW1365" s="76"/>
      <c r="ZX1365" s="76"/>
      <c r="ZY1365" s="76"/>
      <c r="ZZ1365" s="76"/>
      <c r="AAA1365" s="76"/>
      <c r="AAB1365" s="76"/>
      <c r="AAC1365" s="76"/>
      <c r="AAD1365" s="76"/>
      <c r="AAE1365" s="76"/>
      <c r="AAF1365" s="76"/>
      <c r="AAG1365" s="76"/>
      <c r="AAH1365" s="76"/>
      <c r="AAI1365" s="76"/>
      <c r="AAJ1365" s="76"/>
      <c r="AAK1365" s="76"/>
      <c r="AAL1365" s="76"/>
      <c r="AAM1365" s="76"/>
      <c r="AAN1365" s="76"/>
      <c r="AAO1365" s="76"/>
      <c r="AAP1365" s="76"/>
      <c r="AAQ1365" s="76"/>
      <c r="AAR1365" s="76"/>
      <c r="AAS1365" s="76"/>
      <c r="AAT1365" s="76"/>
      <c r="AAU1365" s="76"/>
      <c r="AAV1365" s="76"/>
      <c r="AAW1365" s="76"/>
      <c r="AAX1365" s="76"/>
      <c r="AAY1365" s="76"/>
      <c r="AAZ1365" s="76"/>
      <c r="ABA1365" s="76"/>
      <c r="ABB1365" s="76"/>
      <c r="ABC1365" s="76"/>
      <c r="ABD1365" s="76"/>
      <c r="ABE1365" s="76"/>
      <c r="ABF1365" s="76"/>
      <c r="ABG1365" s="76"/>
      <c r="ABH1365" s="76"/>
      <c r="ABI1365" s="76"/>
      <c r="ABJ1365" s="76"/>
      <c r="ABK1365" s="76"/>
      <c r="ABL1365" s="76"/>
      <c r="ABM1365" s="76"/>
      <c r="ABN1365" s="76"/>
      <c r="ABO1365" s="76"/>
      <c r="ABP1365" s="76"/>
      <c r="ABQ1365" s="76"/>
      <c r="ABR1365" s="76"/>
      <c r="ABS1365" s="76"/>
      <c r="ABT1365" s="76"/>
      <c r="ABU1365" s="76"/>
      <c r="ABV1365" s="76"/>
      <c r="ABW1365" s="76"/>
      <c r="ABX1365" s="76"/>
      <c r="ABY1365" s="76"/>
      <c r="ABZ1365" s="76"/>
      <c r="ACA1365" s="76"/>
      <c r="ACB1365" s="76"/>
      <c r="ACC1365" s="76"/>
      <c r="ACD1365" s="76"/>
      <c r="ACE1365" s="76"/>
      <c r="ACF1365" s="76"/>
      <c r="ACG1365" s="76"/>
      <c r="ACH1365" s="76"/>
      <c r="ACI1365" s="76"/>
      <c r="ACJ1365" s="76"/>
      <c r="ACK1365" s="76"/>
      <c r="ACL1365" s="76"/>
      <c r="ACM1365" s="76"/>
      <c r="ACN1365" s="76"/>
      <c r="ACO1365" s="76"/>
      <c r="ACP1365" s="76"/>
      <c r="ACQ1365" s="76"/>
      <c r="ACR1365" s="76"/>
      <c r="ACS1365" s="50"/>
      <c r="ACT1365" s="76"/>
      <c r="ACU1365" s="76"/>
      <c r="ACV1365" s="76"/>
      <c r="ACW1365" s="76"/>
      <c r="ACX1365" s="76"/>
      <c r="ACY1365" s="76"/>
      <c r="ACZ1365" s="76"/>
      <c r="ADA1365" s="76"/>
      <c r="ADB1365" s="76"/>
      <c r="ADC1365" s="76"/>
      <c r="ADD1365" s="76"/>
      <c r="ADE1365" s="76"/>
      <c r="ADF1365" s="76"/>
      <c r="ADG1365" s="76"/>
      <c r="ADH1365" s="76"/>
      <c r="ADI1365" s="76"/>
      <c r="ADJ1365" s="76"/>
      <c r="ADK1365" s="76"/>
      <c r="ADL1365" s="76"/>
      <c r="ADM1365" s="76"/>
      <c r="ADN1365" s="76"/>
      <c r="ADO1365" s="76"/>
      <c r="ADP1365" s="76"/>
      <c r="ADQ1365" s="76"/>
      <c r="ADR1365" s="76"/>
      <c r="ADS1365" s="76"/>
      <c r="ADT1365" s="76"/>
      <c r="ADU1365" s="76"/>
      <c r="ADV1365" s="76"/>
      <c r="ADW1365" s="76"/>
      <c r="ADX1365" s="76"/>
      <c r="ADY1365" s="76"/>
      <c r="ADZ1365" s="76"/>
      <c r="AEA1365" s="76"/>
      <c r="AEB1365" s="76"/>
      <c r="AEC1365" s="76"/>
      <c r="AED1365" s="76"/>
      <c r="AEE1365" s="76"/>
      <c r="AEF1365" s="76"/>
      <c r="AEG1365" s="76"/>
      <c r="AEH1365" s="76"/>
      <c r="AEI1365" s="76"/>
      <c r="AEJ1365" s="76"/>
      <c r="AEK1365" s="76"/>
      <c r="AEL1365" s="76"/>
      <c r="AEM1365" s="76"/>
      <c r="AEN1365" s="76"/>
      <c r="AEO1365" s="76"/>
      <c r="AEP1365" s="76"/>
      <c r="AEQ1365" s="76"/>
      <c r="AER1365" s="76"/>
      <c r="AES1365" s="76"/>
      <c r="AET1365" s="76"/>
      <c r="AEU1365" s="76"/>
      <c r="AEV1365" s="76"/>
      <c r="AEW1365" s="76"/>
      <c r="AEX1365" s="76"/>
      <c r="AEY1365" s="76"/>
      <c r="AEZ1365" s="76"/>
      <c r="AFA1365" s="76"/>
      <c r="AFB1365" s="76"/>
      <c r="AFC1365" s="76"/>
      <c r="AFD1365" s="76"/>
      <c r="AFE1365" s="76"/>
      <c r="AFF1365" s="76"/>
      <c r="AFG1365" s="76"/>
      <c r="AFH1365" s="76"/>
      <c r="AFI1365" s="76"/>
      <c r="AFJ1365" s="76"/>
      <c r="AFK1365" s="76"/>
      <c r="AFL1365" s="76"/>
      <c r="AFM1365" s="76"/>
      <c r="AFN1365" s="76"/>
      <c r="AFO1365" s="76"/>
      <c r="AFP1365" s="76"/>
      <c r="AFQ1365" s="76"/>
      <c r="AFR1365" s="76"/>
      <c r="AFS1365" s="76"/>
      <c r="AFT1365" s="76"/>
      <c r="AFU1365" s="76"/>
      <c r="AFV1365" s="76"/>
      <c r="AFW1365" s="76"/>
      <c r="AFX1365" s="76"/>
      <c r="AFY1365" s="76"/>
      <c r="AFZ1365" s="76"/>
      <c r="AGA1365" s="76"/>
      <c r="AGB1365" s="76"/>
      <c r="AGC1365" s="76"/>
      <c r="AGD1365" s="76"/>
      <c r="AGE1365" s="76"/>
      <c r="AGF1365" s="76"/>
      <c r="AGG1365" s="76"/>
      <c r="AGH1365" s="76"/>
      <c r="AGI1365" s="76"/>
      <c r="AGJ1365" s="76"/>
      <c r="AGK1365" s="76"/>
      <c r="AGL1365" s="76"/>
      <c r="AGM1365" s="76"/>
      <c r="AGN1365" s="76"/>
      <c r="AGO1365" s="76"/>
      <c r="AGP1365" s="76"/>
      <c r="AGQ1365" s="76"/>
      <c r="AGR1365" s="76"/>
      <c r="AGS1365" s="76"/>
      <c r="AGT1365" s="76"/>
      <c r="AGU1365" s="76"/>
      <c r="AGV1365" s="76"/>
      <c r="AGW1365" s="76"/>
      <c r="AGX1365" s="76"/>
      <c r="AGY1365" s="76"/>
      <c r="AGZ1365" s="76"/>
      <c r="AHA1365" s="76"/>
      <c r="AHB1365" s="76"/>
      <c r="AHC1365" s="76"/>
      <c r="AHD1365" s="76"/>
      <c r="AHE1365" s="76"/>
      <c r="AHF1365" s="76"/>
      <c r="AHG1365" s="76"/>
      <c r="AHH1365" s="76"/>
      <c r="AHI1365" s="76"/>
      <c r="AHJ1365" s="76"/>
      <c r="AHK1365" s="76"/>
      <c r="AHL1365" s="76"/>
      <c r="AHM1365" s="76"/>
      <c r="AHN1365" s="76"/>
      <c r="AHO1365" s="76"/>
      <c r="AHP1365" s="76"/>
      <c r="AHQ1365" s="76"/>
      <c r="AHR1365" s="76"/>
      <c r="AHS1365" s="76"/>
      <c r="AHT1365" s="76"/>
      <c r="AHU1365" s="76"/>
      <c r="AHV1365" s="76"/>
      <c r="AHW1365" s="76"/>
      <c r="AHX1365" s="76"/>
      <c r="AHY1365" s="76"/>
      <c r="AHZ1365" s="76"/>
      <c r="AIA1365" s="76"/>
      <c r="AIB1365" s="76"/>
      <c r="AIC1365" s="76"/>
      <c r="AID1365" s="76"/>
      <c r="AIE1365" s="76"/>
      <c r="AIF1365" s="76"/>
      <c r="AIG1365" s="76"/>
      <c r="AIH1365" s="76"/>
      <c r="AII1365" s="76"/>
      <c r="AIJ1365" s="76"/>
      <c r="AIK1365" s="76"/>
      <c r="AIL1365" s="76"/>
      <c r="AIM1365" s="76"/>
      <c r="AIN1365" s="76"/>
      <c r="AIO1365" s="76"/>
      <c r="AIP1365" s="76"/>
      <c r="AIQ1365" s="76"/>
      <c r="AIR1365" s="76"/>
      <c r="AIS1365" s="76"/>
      <c r="AIT1365" s="76"/>
      <c r="AIU1365" s="76"/>
      <c r="AIV1365" s="76"/>
      <c r="AIW1365" s="76"/>
      <c r="AIX1365" s="76"/>
      <c r="AIY1365" s="76"/>
      <c r="AIZ1365" s="76"/>
      <c r="AJA1365" s="76"/>
      <c r="AJB1365" s="76"/>
      <c r="AJC1365" s="76"/>
      <c r="AJD1365" s="76"/>
      <c r="AJE1365" s="76"/>
      <c r="AJF1365" s="76"/>
      <c r="AJG1365" s="76"/>
      <c r="AJH1365" s="76"/>
      <c r="AJI1365" s="76"/>
      <c r="AJJ1365" s="76"/>
      <c r="AJK1365" s="76"/>
      <c r="AJL1365" s="76"/>
      <c r="AJM1365" s="76"/>
      <c r="AJN1365" s="76"/>
      <c r="AJO1365" s="76"/>
      <c r="AJP1365" s="76"/>
      <c r="AJQ1365" s="76"/>
      <c r="AJR1365" s="76"/>
      <c r="AJS1365" s="76"/>
      <c r="AJT1365" s="76"/>
      <c r="AJU1365" s="76"/>
      <c r="AJV1365" s="76"/>
      <c r="AJW1365" s="76"/>
      <c r="AJX1365" s="76"/>
      <c r="AJY1365" s="76"/>
      <c r="AJZ1365" s="76"/>
      <c r="AKA1365" s="76"/>
      <c r="AKB1365" s="76"/>
      <c r="AKC1365" s="76"/>
      <c r="AKD1365" s="76"/>
      <c r="AKE1365" s="76"/>
      <c r="AKF1365" s="76"/>
      <c r="AKG1365" s="76"/>
      <c r="AKH1365" s="76"/>
      <c r="AKI1365" s="76"/>
      <c r="AKJ1365" s="76"/>
      <c r="AKK1365" s="76"/>
      <c r="AKL1365" s="76"/>
      <c r="AKM1365" s="76"/>
      <c r="AKN1365" s="76"/>
      <c r="AKO1365" s="76"/>
      <c r="AKP1365" s="76"/>
      <c r="AKQ1365" s="76"/>
      <c r="AKR1365" s="76"/>
      <c r="AKS1365" s="76"/>
      <c r="AKT1365" s="76"/>
      <c r="AKU1365" s="76"/>
      <c r="AKV1365" s="76"/>
      <c r="AKW1365" s="76"/>
      <c r="AKX1365" s="76"/>
      <c r="AKY1365" s="76"/>
      <c r="AKZ1365" s="76"/>
      <c r="ALA1365" s="76"/>
      <c r="ALB1365" s="76"/>
      <c r="ALC1365" s="76"/>
      <c r="ALD1365" s="76"/>
      <c r="ALE1365" s="76"/>
      <c r="ALF1365" s="76"/>
      <c r="ALG1365" s="76"/>
      <c r="ALH1365" s="76"/>
      <c r="ALI1365" s="76"/>
      <c r="ALJ1365" s="76"/>
      <c r="ALK1365" s="76"/>
      <c r="ALL1365" s="76"/>
      <c r="ALM1365" s="76"/>
      <c r="ALN1365" s="76"/>
      <c r="ALO1365" s="76"/>
      <c r="ALP1365" s="76"/>
      <c r="ALQ1365" s="76"/>
      <c r="ALR1365" s="76"/>
      <c r="ALS1365" s="76"/>
      <c r="ALT1365" s="76"/>
      <c r="ALU1365" s="76"/>
      <c r="ALV1365" s="76"/>
      <c r="ALW1365" s="76"/>
      <c r="ALX1365" s="76"/>
      <c r="ALY1365" s="76"/>
      <c r="ALZ1365" s="76"/>
      <c r="AMA1365" s="76"/>
      <c r="AMB1365" s="76"/>
      <c r="AMC1365" s="76"/>
      <c r="AMD1365" s="76"/>
      <c r="AME1365" s="76"/>
      <c r="AMF1365" s="76"/>
      <c r="AMG1365" s="76"/>
      <c r="AMH1365" s="76"/>
      <c r="AMI1365" s="76"/>
      <c r="AMJ1365" s="76"/>
      <c r="AMK1365" s="76"/>
      <c r="AML1365" s="76"/>
      <c r="AMM1365" s="76"/>
      <c r="AMN1365" s="76"/>
      <c r="AMO1365" s="50"/>
      <c r="AMP1365" s="76"/>
      <c r="AMQ1365" s="76"/>
      <c r="AMR1365" s="76"/>
      <c r="AMS1365" s="76"/>
      <c r="AMT1365" s="76"/>
      <c r="AMU1365" s="76"/>
      <c r="AMV1365" s="76"/>
      <c r="AMW1365" s="76"/>
      <c r="AMX1365" s="76"/>
      <c r="AMY1365" s="76"/>
      <c r="AMZ1365" s="76"/>
      <c r="ANA1365" s="76"/>
      <c r="ANB1365" s="76"/>
      <c r="ANC1365" s="76"/>
      <c r="AND1365" s="76"/>
      <c r="ANE1365" s="76"/>
      <c r="ANF1365" s="76"/>
      <c r="ANG1365" s="76"/>
      <c r="ANH1365" s="76"/>
      <c r="ANI1365" s="76"/>
      <c r="ANJ1365" s="76"/>
      <c r="ANK1365" s="76"/>
      <c r="ANL1365" s="76"/>
      <c r="ANM1365" s="76"/>
      <c r="ANN1365" s="76"/>
      <c r="ANO1365" s="76"/>
      <c r="ANP1365" s="76"/>
      <c r="ANQ1365" s="76"/>
      <c r="ANR1365" s="76"/>
      <c r="ANS1365" s="76"/>
      <c r="ANT1365" s="76"/>
      <c r="ANU1365" s="76"/>
      <c r="ANV1365" s="76"/>
      <c r="ANW1365" s="76"/>
      <c r="ANX1365" s="76"/>
      <c r="ANY1365" s="76"/>
      <c r="ANZ1365" s="76"/>
      <c r="AOA1365" s="76"/>
      <c r="AOB1365" s="76"/>
      <c r="AOC1365" s="76"/>
      <c r="AOD1365" s="76"/>
      <c r="AOE1365" s="76"/>
      <c r="AOF1365" s="76"/>
      <c r="AOG1365" s="76"/>
      <c r="AOH1365" s="76"/>
      <c r="AOI1365" s="76"/>
      <c r="AOJ1365" s="76"/>
      <c r="AOK1365" s="76"/>
      <c r="AOL1365" s="76"/>
      <c r="AOM1365" s="76"/>
      <c r="AON1365" s="76"/>
      <c r="AOO1365" s="76"/>
      <c r="AOP1365" s="76"/>
      <c r="AOQ1365" s="76"/>
      <c r="AOR1365" s="76"/>
      <c r="AOS1365" s="76"/>
      <c r="AOT1365" s="76"/>
      <c r="AOU1365" s="76"/>
      <c r="AOV1365" s="76"/>
      <c r="AOW1365" s="76"/>
      <c r="AOX1365" s="76"/>
      <c r="AOY1365" s="76"/>
      <c r="AOZ1365" s="76"/>
      <c r="APA1365" s="76"/>
      <c r="APB1365" s="76"/>
      <c r="APC1365" s="76"/>
      <c r="APD1365" s="76"/>
      <c r="APE1365" s="76"/>
      <c r="APF1365" s="76"/>
      <c r="APG1365" s="76"/>
      <c r="APH1365" s="76"/>
      <c r="API1365" s="76"/>
      <c r="APJ1365" s="76"/>
      <c r="APK1365" s="76"/>
      <c r="APL1365" s="76"/>
      <c r="APM1365" s="76"/>
      <c r="APN1365" s="76"/>
      <c r="APO1365" s="76"/>
      <c r="APP1365" s="76"/>
      <c r="APQ1365" s="76"/>
      <c r="APR1365" s="76"/>
      <c r="APS1365" s="76"/>
      <c r="APT1365" s="76"/>
      <c r="APU1365" s="76"/>
      <c r="APV1365" s="76"/>
      <c r="APW1365" s="76"/>
      <c r="APX1365" s="76"/>
      <c r="APY1365" s="76"/>
      <c r="APZ1365" s="76"/>
      <c r="AQA1365" s="76"/>
      <c r="AQB1365" s="76"/>
      <c r="AQC1365" s="76"/>
      <c r="AQD1365" s="76"/>
      <c r="AQE1365" s="76"/>
      <c r="AQF1365" s="76"/>
      <c r="AQG1365" s="76"/>
      <c r="AQH1365" s="76"/>
      <c r="AQI1365" s="76"/>
      <c r="AQJ1365" s="76"/>
      <c r="AQK1365" s="76"/>
      <c r="AQL1365" s="76"/>
      <c r="AQM1365" s="76"/>
      <c r="AQN1365" s="76"/>
      <c r="AQO1365" s="76"/>
      <c r="AQP1365" s="76"/>
      <c r="AQQ1365" s="76"/>
      <c r="AQR1365" s="76"/>
      <c r="AQS1365" s="76"/>
      <c r="AQT1365" s="76"/>
      <c r="AQU1365" s="76"/>
      <c r="AQV1365" s="76"/>
      <c r="AQW1365" s="76"/>
      <c r="AQX1365" s="76"/>
      <c r="AQY1365" s="76"/>
      <c r="AQZ1365" s="76"/>
      <c r="ARA1365" s="76"/>
      <c r="ARB1365" s="76"/>
      <c r="ARC1365" s="76"/>
      <c r="ARD1365" s="76"/>
      <c r="ARE1365" s="76"/>
      <c r="ARF1365" s="76"/>
      <c r="ARG1365" s="76"/>
      <c r="ARH1365" s="76"/>
      <c r="ARI1365" s="76"/>
      <c r="ARJ1365" s="76"/>
      <c r="ARK1365" s="76"/>
      <c r="ARL1365" s="76"/>
      <c r="ARM1365" s="76"/>
      <c r="ARN1365" s="76"/>
      <c r="ARO1365" s="76"/>
      <c r="ARP1365" s="76"/>
      <c r="ARQ1365" s="76"/>
      <c r="ARR1365" s="76"/>
      <c r="ARS1365" s="76"/>
      <c r="ART1365" s="76"/>
      <c r="ARU1365" s="76"/>
      <c r="ARV1365" s="76"/>
      <c r="ARW1365" s="76"/>
      <c r="ARX1365" s="76"/>
      <c r="ARY1365" s="76"/>
      <c r="ARZ1365" s="76"/>
      <c r="ASA1365" s="76"/>
      <c r="ASB1365" s="76"/>
      <c r="ASC1365" s="76"/>
      <c r="ASD1365" s="76"/>
      <c r="ASE1365" s="76"/>
      <c r="ASF1365" s="76"/>
      <c r="ASG1365" s="76"/>
      <c r="ASH1365" s="76"/>
      <c r="ASI1365" s="76"/>
      <c r="ASJ1365" s="76"/>
      <c r="ASK1365" s="76"/>
      <c r="ASL1365" s="76"/>
      <c r="ASM1365" s="76"/>
      <c r="ASN1365" s="76"/>
      <c r="ASO1365" s="76"/>
      <c r="ASP1365" s="76"/>
      <c r="ASQ1365" s="76"/>
      <c r="ASR1365" s="76"/>
      <c r="ASS1365" s="76"/>
      <c r="AST1365" s="76"/>
      <c r="ASU1365" s="76"/>
      <c r="ASV1365" s="76"/>
      <c r="ASW1365" s="76"/>
      <c r="ASX1365" s="76"/>
      <c r="ASY1365" s="76"/>
      <c r="ASZ1365" s="76"/>
      <c r="ATA1365" s="76"/>
      <c r="ATB1365" s="76"/>
      <c r="ATC1365" s="76"/>
      <c r="ATD1365" s="76"/>
      <c r="ATE1365" s="76"/>
      <c r="ATF1365" s="76"/>
      <c r="ATG1365" s="76"/>
      <c r="ATH1365" s="76"/>
      <c r="ATI1365" s="76"/>
      <c r="ATJ1365" s="76"/>
      <c r="ATK1365" s="76"/>
      <c r="ATL1365" s="76"/>
      <c r="ATM1365" s="76"/>
      <c r="ATN1365" s="76"/>
      <c r="ATO1365" s="76"/>
      <c r="ATP1365" s="76"/>
      <c r="ATQ1365" s="76"/>
      <c r="ATR1365" s="76"/>
      <c r="ATS1365" s="76"/>
      <c r="ATT1365" s="76"/>
      <c r="ATU1365" s="76"/>
      <c r="ATV1365" s="76"/>
      <c r="ATW1365" s="76"/>
      <c r="ATX1365" s="76"/>
      <c r="ATY1365" s="76"/>
      <c r="ATZ1365" s="76"/>
      <c r="AUA1365" s="76"/>
      <c r="AUB1365" s="76"/>
      <c r="AUC1365" s="76"/>
      <c r="AUD1365" s="76"/>
      <c r="AUE1365" s="76"/>
      <c r="AUF1365" s="76"/>
      <c r="AUG1365" s="76"/>
      <c r="AUH1365" s="76"/>
      <c r="AUI1365" s="76"/>
      <c r="AUJ1365" s="76"/>
      <c r="AUK1365" s="76"/>
      <c r="AUL1365" s="76"/>
      <c r="AUM1365" s="76"/>
      <c r="AUN1365" s="76"/>
      <c r="AUO1365" s="76"/>
      <c r="AUP1365" s="76"/>
      <c r="AUQ1365" s="76"/>
      <c r="AUR1365" s="76"/>
      <c r="AUS1365" s="76"/>
      <c r="AUT1365" s="76"/>
      <c r="AUU1365" s="76"/>
      <c r="AUV1365" s="76"/>
      <c r="AUW1365" s="76"/>
      <c r="AUX1365" s="76"/>
      <c r="AUY1365" s="76"/>
      <c r="AUZ1365" s="76"/>
      <c r="AVA1365" s="76"/>
      <c r="AVB1365" s="76"/>
      <c r="AVC1365" s="76"/>
      <c r="AVD1365" s="76"/>
      <c r="AVE1365" s="76"/>
      <c r="AVF1365" s="76"/>
      <c r="AVG1365" s="76"/>
      <c r="AVH1365" s="76"/>
      <c r="AVI1365" s="76"/>
      <c r="AVJ1365" s="76"/>
      <c r="AVK1365" s="76"/>
      <c r="AVL1365" s="76"/>
      <c r="AVM1365" s="76"/>
      <c r="AVN1365" s="76"/>
      <c r="AVO1365" s="76"/>
      <c r="AVP1365" s="76"/>
      <c r="AVQ1365" s="76"/>
      <c r="AVR1365" s="76"/>
      <c r="AVS1365" s="76"/>
      <c r="AVT1365" s="76"/>
      <c r="AVU1365" s="76"/>
      <c r="AVV1365" s="76"/>
      <c r="AVW1365" s="76"/>
      <c r="AVX1365" s="76"/>
      <c r="AVY1365" s="76"/>
      <c r="AVZ1365" s="76"/>
      <c r="AWA1365" s="76"/>
      <c r="AWB1365" s="76"/>
      <c r="AWC1365" s="76"/>
      <c r="AWD1365" s="76"/>
      <c r="AWE1365" s="76"/>
      <c r="AWF1365" s="76"/>
      <c r="AWG1365" s="76"/>
      <c r="AWH1365" s="76"/>
      <c r="AWI1365" s="76"/>
      <c r="AWJ1365" s="76"/>
      <c r="AWK1365" s="50"/>
      <c r="AWL1365" s="76"/>
      <c r="AWM1365" s="76"/>
      <c r="AWN1365" s="76"/>
      <c r="AWO1365" s="76"/>
      <c r="AWP1365" s="76"/>
      <c r="AWQ1365" s="76"/>
      <c r="AWR1365" s="76"/>
      <c r="AWS1365" s="76"/>
      <c r="AWT1365" s="76"/>
      <c r="AWU1365" s="76"/>
      <c r="AWV1365" s="76"/>
      <c r="AWW1365" s="76"/>
      <c r="AWX1365" s="76"/>
      <c r="AWY1365" s="76"/>
      <c r="AWZ1365" s="76"/>
      <c r="AXA1365" s="76"/>
      <c r="AXB1365" s="76"/>
      <c r="AXC1365" s="76"/>
      <c r="AXD1365" s="76"/>
      <c r="AXE1365" s="76"/>
      <c r="AXF1365" s="76"/>
      <c r="AXG1365" s="76"/>
      <c r="AXH1365" s="76"/>
      <c r="AXI1365" s="76"/>
      <c r="AXJ1365" s="76"/>
      <c r="AXK1365" s="76"/>
      <c r="AXL1365" s="76"/>
      <c r="AXM1365" s="76"/>
      <c r="AXN1365" s="76"/>
      <c r="AXO1365" s="76"/>
      <c r="AXP1365" s="76"/>
      <c r="AXQ1365" s="76"/>
      <c r="AXR1365" s="76"/>
      <c r="AXS1365" s="76"/>
      <c r="AXT1365" s="76"/>
      <c r="AXU1365" s="76"/>
      <c r="AXV1365" s="76"/>
      <c r="AXW1365" s="76"/>
      <c r="AXX1365" s="76"/>
      <c r="AXY1365" s="76"/>
      <c r="AXZ1365" s="76"/>
      <c r="AYA1365" s="76"/>
      <c r="AYB1365" s="76"/>
      <c r="AYC1365" s="76"/>
      <c r="AYD1365" s="76"/>
      <c r="AYE1365" s="76"/>
      <c r="AYF1365" s="76"/>
      <c r="AYG1365" s="76"/>
      <c r="AYH1365" s="76"/>
      <c r="AYI1365" s="76"/>
      <c r="AYJ1365" s="76"/>
      <c r="AYK1365" s="76"/>
      <c r="AYL1365" s="76"/>
      <c r="AYM1365" s="76"/>
      <c r="AYN1365" s="76"/>
      <c r="AYO1365" s="76"/>
      <c r="AYP1365" s="76"/>
      <c r="AYQ1365" s="76"/>
      <c r="AYR1365" s="76"/>
      <c r="AYS1365" s="76"/>
      <c r="AYT1365" s="76"/>
      <c r="AYU1365" s="76"/>
      <c r="AYV1365" s="76"/>
      <c r="AYW1365" s="76"/>
      <c r="AYX1365" s="76"/>
      <c r="AYY1365" s="76"/>
      <c r="AYZ1365" s="76"/>
      <c r="AZA1365" s="76"/>
      <c r="AZB1365" s="76"/>
      <c r="AZC1365" s="76"/>
      <c r="AZD1365" s="76"/>
      <c r="AZE1365" s="76"/>
      <c r="AZF1365" s="76"/>
      <c r="AZG1365" s="76"/>
      <c r="AZH1365" s="76"/>
      <c r="AZI1365" s="76"/>
      <c r="AZJ1365" s="76"/>
      <c r="AZK1365" s="76"/>
      <c r="AZL1365" s="76"/>
      <c r="AZM1365" s="76"/>
      <c r="AZN1365" s="76"/>
      <c r="AZO1365" s="76"/>
      <c r="AZP1365" s="76"/>
      <c r="AZQ1365" s="76"/>
      <c r="AZR1365" s="76"/>
      <c r="AZS1365" s="76"/>
      <c r="AZT1365" s="76"/>
      <c r="AZU1365" s="76"/>
      <c r="AZV1365" s="76"/>
      <c r="AZW1365" s="76"/>
      <c r="AZX1365" s="76"/>
      <c r="AZY1365" s="76"/>
      <c r="AZZ1365" s="76"/>
      <c r="BAA1365" s="76"/>
      <c r="BAB1365" s="76"/>
      <c r="BAC1365" s="76"/>
      <c r="BAD1365" s="76"/>
      <c r="BAE1365" s="76"/>
      <c r="BAF1365" s="76"/>
      <c r="BAG1365" s="76"/>
      <c r="BAH1365" s="76"/>
      <c r="BAI1365" s="76"/>
      <c r="BAJ1365" s="76"/>
      <c r="BAK1365" s="76"/>
      <c r="BAL1365" s="76"/>
      <c r="BAM1365" s="76"/>
      <c r="BAN1365" s="76"/>
      <c r="BAO1365" s="76"/>
      <c r="BAP1365" s="76"/>
      <c r="BAQ1365" s="76"/>
      <c r="BAR1365" s="76"/>
      <c r="BAS1365" s="76"/>
      <c r="BAT1365" s="76"/>
      <c r="BAU1365" s="76"/>
      <c r="BAV1365" s="76"/>
      <c r="BAW1365" s="76"/>
      <c r="BAX1365" s="76"/>
      <c r="BAY1365" s="76"/>
      <c r="BAZ1365" s="76"/>
      <c r="BBA1365" s="76"/>
      <c r="BBB1365" s="76"/>
      <c r="BBC1365" s="76"/>
      <c r="BBD1365" s="76"/>
      <c r="BBE1365" s="76"/>
      <c r="BBF1365" s="76"/>
      <c r="BBG1365" s="76"/>
      <c r="BBH1365" s="76"/>
      <c r="BBI1365" s="76"/>
      <c r="BBJ1365" s="76"/>
      <c r="BBK1365" s="76"/>
      <c r="BBL1365" s="76"/>
      <c r="BBM1365" s="76"/>
      <c r="BBN1365" s="76"/>
      <c r="BBO1365" s="76"/>
      <c r="BBP1365" s="76"/>
      <c r="BBQ1365" s="76"/>
      <c r="BBR1365" s="76"/>
      <c r="BBS1365" s="76"/>
      <c r="BBT1365" s="76"/>
      <c r="BBU1365" s="76"/>
      <c r="BBV1365" s="76"/>
      <c r="BBW1365" s="76"/>
      <c r="BBX1365" s="76"/>
      <c r="BBY1365" s="76"/>
      <c r="BBZ1365" s="76"/>
      <c r="BCA1365" s="76"/>
      <c r="BCB1365" s="76"/>
      <c r="BCC1365" s="76"/>
      <c r="BCD1365" s="76"/>
      <c r="BCE1365" s="76"/>
      <c r="BCF1365" s="76"/>
      <c r="BCG1365" s="76"/>
      <c r="BCH1365" s="76"/>
      <c r="BCI1365" s="76"/>
      <c r="BCJ1365" s="76"/>
      <c r="BCK1365" s="76"/>
      <c r="BCL1365" s="76"/>
      <c r="BCM1365" s="76"/>
      <c r="BCN1365" s="76"/>
      <c r="BCO1365" s="76"/>
      <c r="BCP1365" s="76"/>
      <c r="BCQ1365" s="76"/>
      <c r="BCR1365" s="76"/>
      <c r="BCS1365" s="76"/>
      <c r="BCT1365" s="76"/>
      <c r="BCU1365" s="76"/>
      <c r="BCV1365" s="76"/>
      <c r="BCW1365" s="76"/>
      <c r="BCX1365" s="76"/>
      <c r="BCY1365" s="76"/>
      <c r="BCZ1365" s="76"/>
      <c r="BDA1365" s="76"/>
      <c r="BDB1365" s="76"/>
      <c r="BDC1365" s="76"/>
      <c r="BDD1365" s="76"/>
      <c r="BDE1365" s="76"/>
      <c r="BDF1365" s="76"/>
      <c r="BDG1365" s="76"/>
      <c r="BDH1365" s="76"/>
      <c r="BDI1365" s="76"/>
      <c r="BDJ1365" s="76"/>
      <c r="BDK1365" s="76"/>
      <c r="BDL1365" s="76"/>
      <c r="BDM1365" s="76"/>
      <c r="BDN1365" s="76"/>
      <c r="BDO1365" s="76"/>
      <c r="BDP1365" s="76"/>
      <c r="BDQ1365" s="76"/>
      <c r="BDR1365" s="76"/>
      <c r="BDS1365" s="76"/>
      <c r="BDT1365" s="76"/>
      <c r="BDU1365" s="76"/>
      <c r="BDV1365" s="76"/>
      <c r="BDW1365" s="76"/>
      <c r="BDX1365" s="76"/>
      <c r="BDY1365" s="76"/>
      <c r="BDZ1365" s="76"/>
      <c r="BEA1365" s="76"/>
      <c r="BEB1365" s="76"/>
      <c r="BEC1365" s="76"/>
      <c r="BED1365" s="76"/>
      <c r="BEE1365" s="76"/>
      <c r="BEF1365" s="76"/>
      <c r="BEG1365" s="76"/>
      <c r="BEH1365" s="76"/>
      <c r="BEI1365" s="76"/>
      <c r="BEJ1365" s="76"/>
      <c r="BEK1365" s="76"/>
      <c r="BEL1365" s="76"/>
      <c r="BEM1365" s="76"/>
      <c r="BEN1365" s="76"/>
      <c r="BEO1365" s="76"/>
      <c r="BEP1365" s="76"/>
      <c r="BEQ1365" s="76"/>
      <c r="BER1365" s="76"/>
      <c r="BES1365" s="76"/>
      <c r="BET1365" s="76"/>
      <c r="BEU1365" s="76"/>
      <c r="BEV1365" s="76"/>
      <c r="BEW1365" s="76"/>
      <c r="BEX1365" s="76"/>
      <c r="BEY1365" s="76"/>
      <c r="BEZ1365" s="76"/>
      <c r="BFA1365" s="76"/>
      <c r="BFB1365" s="76"/>
      <c r="BFC1365" s="76"/>
      <c r="BFD1365" s="76"/>
      <c r="BFE1365" s="76"/>
      <c r="BFF1365" s="76"/>
      <c r="BFG1365" s="76"/>
      <c r="BFH1365" s="76"/>
      <c r="BFI1365" s="76"/>
      <c r="BFJ1365" s="76"/>
      <c r="BFK1365" s="76"/>
      <c r="BFL1365" s="76"/>
      <c r="BFM1365" s="76"/>
      <c r="BFN1365" s="76"/>
      <c r="BFO1365" s="76"/>
      <c r="BFP1365" s="76"/>
      <c r="BFQ1365" s="76"/>
      <c r="BFR1365" s="76"/>
      <c r="BFS1365" s="76"/>
      <c r="BFT1365" s="76"/>
      <c r="BFU1365" s="76"/>
      <c r="BFV1365" s="76"/>
      <c r="BFW1365" s="76"/>
      <c r="BFX1365" s="76"/>
      <c r="BFY1365" s="76"/>
      <c r="BFZ1365" s="76"/>
      <c r="BGA1365" s="76"/>
      <c r="BGB1365" s="76"/>
      <c r="BGC1365" s="76"/>
      <c r="BGD1365" s="76"/>
      <c r="BGE1365" s="76"/>
      <c r="BGF1365" s="76"/>
      <c r="BGG1365" s="50"/>
      <c r="BGH1365" s="76"/>
      <c r="BGI1365" s="76"/>
      <c r="BGJ1365" s="76"/>
      <c r="BGK1365" s="76"/>
      <c r="BGL1365" s="76"/>
      <c r="BGM1365" s="76"/>
      <c r="BGN1365" s="76"/>
      <c r="BGO1365" s="76"/>
      <c r="BGP1365" s="76"/>
      <c r="BGQ1365" s="76"/>
      <c r="BGR1365" s="76"/>
      <c r="BGS1365" s="76"/>
      <c r="BGT1365" s="76"/>
      <c r="BGU1365" s="76"/>
      <c r="BGV1365" s="76"/>
      <c r="BGW1365" s="76"/>
      <c r="BGX1365" s="76"/>
      <c r="BGY1365" s="76"/>
      <c r="BGZ1365" s="76"/>
      <c r="BHA1365" s="76"/>
      <c r="BHB1365" s="76"/>
      <c r="BHC1365" s="76"/>
      <c r="BHD1365" s="76"/>
      <c r="BHE1365" s="76"/>
      <c r="BHF1365" s="76"/>
      <c r="BHG1365" s="76"/>
      <c r="BHH1365" s="76"/>
      <c r="BHI1365" s="76"/>
      <c r="BHJ1365" s="76"/>
      <c r="BHK1365" s="76"/>
      <c r="BHL1365" s="76"/>
      <c r="BHM1365" s="76"/>
      <c r="BHN1365" s="76"/>
      <c r="BHO1365" s="76"/>
      <c r="BHP1365" s="76"/>
      <c r="BHQ1365" s="76"/>
      <c r="BHR1365" s="76"/>
      <c r="BHS1365" s="76"/>
      <c r="BHT1365" s="76"/>
      <c r="BHU1365" s="76"/>
      <c r="BHV1365" s="76"/>
      <c r="BHW1365" s="76"/>
      <c r="BHX1365" s="76"/>
      <c r="BHY1365" s="76"/>
      <c r="BHZ1365" s="76"/>
      <c r="BIA1365" s="76"/>
      <c r="BIB1365" s="76"/>
      <c r="BIC1365" s="76"/>
      <c r="BID1365" s="76"/>
      <c r="BIE1365" s="76"/>
      <c r="BIF1365" s="76"/>
      <c r="BIG1365" s="76"/>
      <c r="BIH1365" s="76"/>
      <c r="BII1365" s="76"/>
      <c r="BIJ1365" s="76"/>
      <c r="BIK1365" s="76"/>
      <c r="BIL1365" s="76"/>
      <c r="BIM1365" s="76"/>
      <c r="BIN1365" s="76"/>
      <c r="BIO1365" s="76"/>
      <c r="BIP1365" s="76"/>
      <c r="BIQ1365" s="76"/>
      <c r="BIR1365" s="76"/>
      <c r="BIS1365" s="76"/>
      <c r="BIT1365" s="76"/>
      <c r="BIU1365" s="76"/>
      <c r="BIV1365" s="76"/>
      <c r="BIW1365" s="76"/>
      <c r="BIX1365" s="76"/>
      <c r="BIY1365" s="76"/>
      <c r="BIZ1365" s="76"/>
      <c r="BJA1365" s="76"/>
      <c r="BJB1365" s="76"/>
      <c r="BJC1365" s="76"/>
      <c r="BJD1365" s="76"/>
      <c r="BJE1365" s="76"/>
      <c r="BJF1365" s="76"/>
      <c r="BJG1365" s="76"/>
      <c r="BJH1365" s="76"/>
      <c r="BJI1365" s="76"/>
      <c r="BJJ1365" s="76"/>
      <c r="BJK1365" s="76"/>
      <c r="BJL1365" s="76"/>
      <c r="BJM1365" s="76"/>
      <c r="BJN1365" s="76"/>
      <c r="BJO1365" s="76"/>
      <c r="BJP1365" s="76"/>
      <c r="BJQ1365" s="76"/>
      <c r="BJR1365" s="76"/>
      <c r="BJS1365" s="76"/>
      <c r="BJT1365" s="76"/>
      <c r="BJU1365" s="76"/>
      <c r="BJV1365" s="76"/>
      <c r="BJW1365" s="76"/>
      <c r="BJX1365" s="76"/>
      <c r="BJY1365" s="76"/>
      <c r="BJZ1365" s="76"/>
      <c r="BKA1365" s="76"/>
      <c r="BKB1365" s="76"/>
      <c r="BKC1365" s="76"/>
      <c r="BKD1365" s="76"/>
      <c r="BKE1365" s="76"/>
      <c r="BKF1365" s="76"/>
      <c r="BKG1365" s="76"/>
      <c r="BKH1365" s="76"/>
      <c r="BKI1365" s="76"/>
      <c r="BKJ1365" s="76"/>
      <c r="BKK1365" s="76"/>
      <c r="BKL1365" s="76"/>
      <c r="BKM1365" s="76"/>
      <c r="BKN1365" s="76"/>
      <c r="BKO1365" s="76"/>
      <c r="BKP1365" s="76"/>
      <c r="BKQ1365" s="76"/>
      <c r="BKR1365" s="76"/>
      <c r="BKS1365" s="76"/>
      <c r="BKT1365" s="76"/>
      <c r="BKU1365" s="76"/>
      <c r="BKV1365" s="76"/>
      <c r="BKW1365" s="76"/>
      <c r="BKX1365" s="76"/>
      <c r="BKY1365" s="76"/>
      <c r="BKZ1365" s="76"/>
      <c r="BLA1365" s="76"/>
      <c r="BLB1365" s="76"/>
      <c r="BLC1365" s="76"/>
      <c r="BLD1365" s="76"/>
      <c r="BLE1365" s="76"/>
      <c r="BLF1365" s="76"/>
      <c r="BLG1365" s="76"/>
      <c r="BLH1365" s="76"/>
      <c r="BLI1365" s="76"/>
      <c r="BLJ1365" s="76"/>
      <c r="BLK1365" s="76"/>
      <c r="BLL1365" s="76"/>
      <c r="BLM1365" s="76"/>
      <c r="BLN1365" s="76"/>
      <c r="BLO1365" s="76"/>
      <c r="BLP1365" s="76"/>
      <c r="BLQ1365" s="76"/>
      <c r="BLR1365" s="76"/>
      <c r="BLS1365" s="76"/>
      <c r="BLT1365" s="76"/>
      <c r="BLU1365" s="76"/>
      <c r="BLV1365" s="76"/>
      <c r="BLW1365" s="76"/>
      <c r="BLX1365" s="76"/>
      <c r="BLY1365" s="76"/>
      <c r="BLZ1365" s="76"/>
      <c r="BMA1365" s="76"/>
      <c r="BMB1365" s="76"/>
      <c r="BMC1365" s="76"/>
      <c r="BMD1365" s="76"/>
      <c r="BME1365" s="76"/>
      <c r="BMF1365" s="76"/>
      <c r="BMG1365" s="76"/>
      <c r="BMH1365" s="76"/>
      <c r="BMI1365" s="76"/>
      <c r="BMJ1365" s="76"/>
      <c r="BMK1365" s="76"/>
      <c r="BML1365" s="76"/>
      <c r="BMM1365" s="76"/>
      <c r="BMN1365" s="76"/>
      <c r="BMO1365" s="76"/>
      <c r="BMP1365" s="76"/>
      <c r="BMQ1365" s="76"/>
      <c r="BMR1365" s="76"/>
      <c r="BMS1365" s="76"/>
      <c r="BMT1365" s="76"/>
      <c r="BMU1365" s="76"/>
      <c r="BMV1365" s="76"/>
      <c r="BMW1365" s="76"/>
      <c r="BMX1365" s="76"/>
      <c r="BMY1365" s="76"/>
      <c r="BMZ1365" s="76"/>
      <c r="BNA1365" s="76"/>
      <c r="BNB1365" s="76"/>
      <c r="BNC1365" s="76"/>
      <c r="BND1365" s="76"/>
      <c r="BNE1365" s="76"/>
      <c r="BNF1365" s="76"/>
      <c r="BNG1365" s="76"/>
      <c r="BNH1365" s="76"/>
      <c r="BNI1365" s="76"/>
      <c r="BNJ1365" s="76"/>
      <c r="BNK1365" s="76"/>
      <c r="BNL1365" s="76"/>
      <c r="BNM1365" s="76"/>
      <c r="BNN1365" s="76"/>
      <c r="BNO1365" s="76"/>
      <c r="BNP1365" s="76"/>
      <c r="BNQ1365" s="76"/>
      <c r="BNR1365" s="76"/>
      <c r="BNS1365" s="76"/>
      <c r="BNT1365" s="76"/>
      <c r="BNU1365" s="76"/>
      <c r="BNV1365" s="76"/>
      <c r="BNW1365" s="76"/>
      <c r="BNX1365" s="76"/>
      <c r="BNY1365" s="76"/>
      <c r="BNZ1365" s="76"/>
      <c r="BOA1365" s="76"/>
      <c r="BOB1365" s="76"/>
      <c r="BOC1365" s="76"/>
      <c r="BOD1365" s="76"/>
      <c r="BOE1365" s="76"/>
      <c r="BOF1365" s="76"/>
      <c r="BOG1365" s="76"/>
      <c r="BOH1365" s="76"/>
      <c r="BOI1365" s="76"/>
      <c r="BOJ1365" s="76"/>
      <c r="BOK1365" s="76"/>
      <c r="BOL1365" s="76"/>
      <c r="BOM1365" s="76"/>
      <c r="BON1365" s="76"/>
      <c r="BOO1365" s="76"/>
      <c r="BOP1365" s="76"/>
      <c r="BOQ1365" s="76"/>
      <c r="BOR1365" s="76"/>
      <c r="BOS1365" s="76"/>
      <c r="BOT1365" s="76"/>
      <c r="BOU1365" s="76"/>
      <c r="BOV1365" s="76"/>
      <c r="BOW1365" s="76"/>
      <c r="BOX1365" s="76"/>
      <c r="BOY1365" s="76"/>
      <c r="BOZ1365" s="76"/>
      <c r="BPA1365" s="76"/>
      <c r="BPB1365" s="76"/>
      <c r="BPC1365" s="76"/>
      <c r="BPD1365" s="76"/>
      <c r="BPE1365" s="76"/>
      <c r="BPF1365" s="76"/>
      <c r="BPG1365" s="76"/>
      <c r="BPH1365" s="76"/>
      <c r="BPI1365" s="76"/>
      <c r="BPJ1365" s="76"/>
      <c r="BPK1365" s="76"/>
      <c r="BPL1365" s="76"/>
      <c r="BPM1365" s="76"/>
      <c r="BPN1365" s="76"/>
      <c r="BPO1365" s="76"/>
      <c r="BPP1365" s="76"/>
      <c r="BPQ1365" s="76"/>
      <c r="BPR1365" s="76"/>
      <c r="BPS1365" s="76"/>
      <c r="BPT1365" s="76"/>
      <c r="BPU1365" s="76"/>
      <c r="BPV1365" s="76"/>
      <c r="BPW1365" s="76"/>
      <c r="BPX1365" s="76"/>
      <c r="BPY1365" s="76"/>
      <c r="BPZ1365" s="76"/>
      <c r="BQA1365" s="76"/>
      <c r="BQB1365" s="76"/>
      <c r="BQC1365" s="50"/>
      <c r="BQD1365" s="76"/>
      <c r="BQE1365" s="76"/>
      <c r="BQF1365" s="76"/>
      <c r="BQG1365" s="76"/>
      <c r="BQH1365" s="76"/>
      <c r="BQI1365" s="76"/>
      <c r="BQJ1365" s="76"/>
      <c r="BQK1365" s="76"/>
      <c r="BQL1365" s="76"/>
      <c r="BQM1365" s="76"/>
      <c r="BQN1365" s="76"/>
      <c r="BQO1365" s="76"/>
      <c r="BQP1365" s="76"/>
      <c r="BQQ1365" s="76"/>
      <c r="BQR1365" s="76"/>
      <c r="BQS1365" s="76"/>
      <c r="BQT1365" s="76"/>
      <c r="BQU1365" s="76"/>
      <c r="BQV1365" s="76"/>
      <c r="BQW1365" s="76"/>
      <c r="BQX1365" s="76"/>
      <c r="BQY1365" s="76"/>
      <c r="BQZ1365" s="76"/>
      <c r="BRA1365" s="76"/>
      <c r="BRB1365" s="76"/>
      <c r="BRC1365" s="76"/>
      <c r="BRD1365" s="76"/>
      <c r="BRE1365" s="76"/>
      <c r="BRF1365" s="76"/>
      <c r="BRG1365" s="76"/>
      <c r="BRH1365" s="76"/>
      <c r="BRI1365" s="76"/>
      <c r="BRJ1365" s="76"/>
      <c r="BRK1365" s="76"/>
      <c r="BRL1365" s="76"/>
      <c r="BRM1365" s="76"/>
      <c r="BRN1365" s="76"/>
      <c r="BRO1365" s="76"/>
      <c r="BRP1365" s="76"/>
      <c r="BRQ1365" s="76"/>
      <c r="BRR1365" s="76"/>
      <c r="BRS1365" s="76"/>
      <c r="BRT1365" s="76"/>
      <c r="BRU1365" s="76"/>
      <c r="BRV1365" s="76"/>
      <c r="BRW1365" s="76"/>
      <c r="BRX1365" s="76"/>
      <c r="BRY1365" s="76"/>
      <c r="BRZ1365" s="76"/>
      <c r="BSA1365" s="76"/>
      <c r="BSB1365" s="76"/>
      <c r="BSC1365" s="76"/>
      <c r="BSD1365" s="76"/>
      <c r="BSE1365" s="76"/>
      <c r="BSF1365" s="76"/>
      <c r="BSG1365" s="76"/>
      <c r="BSH1365" s="76"/>
      <c r="BSI1365" s="76"/>
      <c r="BSJ1365" s="76"/>
      <c r="BSK1365" s="76"/>
      <c r="BSL1365" s="76"/>
      <c r="BSM1365" s="76"/>
      <c r="BSN1365" s="76"/>
      <c r="BSO1365" s="76"/>
      <c r="BSP1365" s="76"/>
      <c r="BSQ1365" s="76"/>
      <c r="BSR1365" s="76"/>
      <c r="BSS1365" s="76"/>
      <c r="BST1365" s="76"/>
      <c r="BSU1365" s="76"/>
      <c r="BSV1365" s="76"/>
      <c r="BSW1365" s="76"/>
      <c r="BSX1365" s="76"/>
      <c r="BSY1365" s="76"/>
      <c r="BSZ1365" s="76"/>
      <c r="BTA1365" s="76"/>
      <c r="BTB1365" s="76"/>
      <c r="BTC1365" s="76"/>
      <c r="BTD1365" s="76"/>
      <c r="BTE1365" s="76"/>
      <c r="BTF1365" s="76"/>
      <c r="BTG1365" s="76"/>
      <c r="BTH1365" s="76"/>
      <c r="BTI1365" s="76"/>
      <c r="BTJ1365" s="76"/>
      <c r="BTK1365" s="76"/>
      <c r="BTL1365" s="76"/>
      <c r="BTM1365" s="76"/>
      <c r="BTN1365" s="76"/>
      <c r="BTO1365" s="76"/>
      <c r="BTP1365" s="76"/>
      <c r="BTQ1365" s="76"/>
      <c r="BTR1365" s="76"/>
      <c r="BTS1365" s="76"/>
      <c r="BTT1365" s="76"/>
      <c r="BTU1365" s="76"/>
      <c r="BTV1365" s="76"/>
      <c r="BTW1365" s="76"/>
      <c r="BTX1365" s="76"/>
      <c r="BTY1365" s="76"/>
      <c r="BTZ1365" s="76"/>
      <c r="BUA1365" s="76"/>
      <c r="BUB1365" s="76"/>
      <c r="BUC1365" s="76"/>
      <c r="BUD1365" s="76"/>
      <c r="BUE1365" s="76"/>
      <c r="BUF1365" s="76"/>
      <c r="BUG1365" s="76"/>
      <c r="BUH1365" s="76"/>
      <c r="BUI1365" s="76"/>
      <c r="BUJ1365" s="76"/>
      <c r="BUK1365" s="76"/>
      <c r="BUL1365" s="76"/>
      <c r="BUM1365" s="76"/>
      <c r="BUN1365" s="76"/>
      <c r="BUO1365" s="76"/>
      <c r="BUP1365" s="76"/>
      <c r="BUQ1365" s="76"/>
      <c r="BUR1365" s="76"/>
      <c r="BUS1365" s="76"/>
      <c r="BUT1365" s="76"/>
      <c r="BUU1365" s="76"/>
      <c r="BUV1365" s="76"/>
      <c r="BUW1365" s="76"/>
      <c r="BUX1365" s="76"/>
      <c r="BUY1365" s="76"/>
      <c r="BUZ1365" s="76"/>
      <c r="BVA1365" s="76"/>
      <c r="BVB1365" s="76"/>
      <c r="BVC1365" s="76"/>
      <c r="BVD1365" s="76"/>
      <c r="BVE1365" s="76"/>
      <c r="BVF1365" s="76"/>
      <c r="BVG1365" s="76"/>
      <c r="BVH1365" s="76"/>
      <c r="BVI1365" s="76"/>
      <c r="BVJ1365" s="76"/>
      <c r="BVK1365" s="76"/>
      <c r="BVL1365" s="76"/>
      <c r="BVM1365" s="76"/>
      <c r="BVN1365" s="76"/>
      <c r="BVO1365" s="76"/>
      <c r="BVP1365" s="76"/>
      <c r="BVQ1365" s="76"/>
      <c r="BVR1365" s="76"/>
      <c r="BVS1365" s="76"/>
      <c r="BVT1365" s="76"/>
      <c r="BVU1365" s="76"/>
      <c r="BVV1365" s="76"/>
      <c r="BVW1365" s="76"/>
      <c r="BVX1365" s="76"/>
      <c r="BVY1365" s="76"/>
      <c r="BVZ1365" s="76"/>
      <c r="BWA1365" s="76"/>
      <c r="BWB1365" s="76"/>
      <c r="BWC1365" s="76"/>
      <c r="BWD1365" s="76"/>
      <c r="BWE1365" s="76"/>
      <c r="BWF1365" s="76"/>
      <c r="BWG1365" s="76"/>
      <c r="BWH1365" s="76"/>
      <c r="BWI1365" s="76"/>
      <c r="BWJ1365" s="76"/>
      <c r="BWK1365" s="76"/>
      <c r="BWL1365" s="76"/>
      <c r="BWM1365" s="76"/>
      <c r="BWN1365" s="76"/>
      <c r="BWO1365" s="76"/>
      <c r="BWP1365" s="76"/>
      <c r="BWQ1365" s="76"/>
      <c r="BWR1365" s="76"/>
      <c r="BWS1365" s="76"/>
      <c r="BWT1365" s="76"/>
      <c r="BWU1365" s="76"/>
      <c r="BWV1365" s="76"/>
      <c r="BWW1365" s="76"/>
      <c r="BWX1365" s="76"/>
      <c r="BWY1365" s="76"/>
      <c r="BWZ1365" s="76"/>
      <c r="BXA1365" s="76"/>
      <c r="BXB1365" s="76"/>
      <c r="BXC1365" s="76"/>
      <c r="BXD1365" s="76"/>
      <c r="BXE1365" s="76"/>
      <c r="BXF1365" s="76"/>
      <c r="BXG1365" s="76"/>
      <c r="BXH1365" s="76"/>
      <c r="BXI1365" s="76"/>
      <c r="BXJ1365" s="76"/>
      <c r="BXK1365" s="76"/>
      <c r="BXL1365" s="76"/>
      <c r="BXM1365" s="76"/>
      <c r="BXN1365" s="76"/>
      <c r="BXO1365" s="76"/>
      <c r="BXP1365" s="76"/>
      <c r="BXQ1365" s="76"/>
      <c r="BXR1365" s="76"/>
      <c r="BXS1365" s="76"/>
      <c r="BXT1365" s="76"/>
      <c r="BXU1365" s="76"/>
      <c r="BXV1365" s="76"/>
      <c r="BXW1365" s="76"/>
      <c r="BXX1365" s="76"/>
      <c r="BXY1365" s="76"/>
      <c r="BXZ1365" s="76"/>
      <c r="BYA1365" s="76"/>
      <c r="BYB1365" s="76"/>
      <c r="BYC1365" s="76"/>
      <c r="BYD1365" s="76"/>
      <c r="BYE1365" s="76"/>
      <c r="BYF1365" s="76"/>
      <c r="BYG1365" s="76"/>
      <c r="BYH1365" s="76"/>
      <c r="BYI1365" s="76"/>
      <c r="BYJ1365" s="76"/>
      <c r="BYK1365" s="76"/>
      <c r="BYL1365" s="76"/>
      <c r="BYM1365" s="76"/>
      <c r="BYN1365" s="76"/>
      <c r="BYO1365" s="76"/>
      <c r="BYP1365" s="76"/>
      <c r="BYQ1365" s="76"/>
      <c r="BYR1365" s="76"/>
      <c r="BYS1365" s="76"/>
      <c r="BYT1365" s="76"/>
      <c r="BYU1365" s="76"/>
      <c r="BYV1365" s="76"/>
      <c r="BYW1365" s="76"/>
      <c r="BYX1365" s="76"/>
      <c r="BYY1365" s="76"/>
      <c r="BYZ1365" s="76"/>
      <c r="BZA1365" s="76"/>
      <c r="BZB1365" s="76"/>
      <c r="BZC1365" s="76"/>
      <c r="BZD1365" s="76"/>
      <c r="BZE1365" s="76"/>
      <c r="BZF1365" s="76"/>
      <c r="BZG1365" s="76"/>
      <c r="BZH1365" s="76"/>
      <c r="BZI1365" s="76"/>
      <c r="BZJ1365" s="76"/>
      <c r="BZK1365" s="76"/>
      <c r="BZL1365" s="76"/>
      <c r="BZM1365" s="76"/>
      <c r="BZN1365" s="76"/>
      <c r="BZO1365" s="76"/>
      <c r="BZP1365" s="76"/>
      <c r="BZQ1365" s="76"/>
      <c r="BZR1365" s="76"/>
      <c r="BZS1365" s="76"/>
      <c r="BZT1365" s="76"/>
      <c r="BZU1365" s="76"/>
      <c r="BZV1365" s="76"/>
      <c r="BZW1365" s="76"/>
      <c r="BZX1365" s="76"/>
      <c r="BZY1365" s="50"/>
      <c r="BZZ1365" s="76"/>
      <c r="CAA1365" s="76"/>
      <c r="CAB1365" s="76"/>
      <c r="CAC1365" s="76"/>
      <c r="CAD1365" s="76"/>
      <c r="CAE1365" s="76"/>
      <c r="CAF1365" s="76"/>
      <c r="CAG1365" s="76"/>
      <c r="CAH1365" s="76"/>
      <c r="CAI1365" s="76"/>
      <c r="CAJ1365" s="76"/>
      <c r="CAK1365" s="76"/>
      <c r="CAL1365" s="76"/>
      <c r="CAM1365" s="76"/>
      <c r="CAN1365" s="76"/>
      <c r="CAO1365" s="76"/>
      <c r="CAP1365" s="76"/>
      <c r="CAQ1365" s="76"/>
      <c r="CAR1365" s="76"/>
      <c r="CAS1365" s="76"/>
      <c r="CAT1365" s="76"/>
      <c r="CAU1365" s="76"/>
      <c r="CAV1365" s="76"/>
      <c r="CAW1365" s="76"/>
      <c r="CAX1365" s="76"/>
      <c r="CAY1365" s="76"/>
      <c r="CAZ1365" s="76"/>
      <c r="CBA1365" s="76"/>
      <c r="CBB1365" s="76"/>
      <c r="CBC1365" s="76"/>
      <c r="CBD1365" s="76"/>
      <c r="CBE1365" s="76"/>
      <c r="CBF1365" s="76"/>
      <c r="CBG1365" s="76"/>
      <c r="CBH1365" s="76"/>
      <c r="CBI1365" s="76"/>
      <c r="CBJ1365" s="76"/>
      <c r="CBK1365" s="76"/>
      <c r="CBL1365" s="76"/>
      <c r="CBM1365" s="76"/>
      <c r="CBN1365" s="76"/>
      <c r="CBO1365" s="76"/>
      <c r="CBP1365" s="76"/>
      <c r="CBQ1365" s="76"/>
      <c r="CBR1365" s="76"/>
      <c r="CBS1365" s="76"/>
      <c r="CBT1365" s="76"/>
      <c r="CBU1365" s="76"/>
      <c r="CBV1365" s="76"/>
      <c r="CBW1365" s="76"/>
      <c r="CBX1365" s="76"/>
      <c r="CBY1365" s="76"/>
      <c r="CBZ1365" s="76"/>
      <c r="CCA1365" s="76"/>
      <c r="CCB1365" s="76"/>
      <c r="CCC1365" s="76"/>
      <c r="CCD1365" s="76"/>
      <c r="CCE1365" s="76"/>
      <c r="CCF1365" s="76"/>
      <c r="CCG1365" s="76"/>
      <c r="CCH1365" s="76"/>
      <c r="CCI1365" s="76"/>
      <c r="CCJ1365" s="76"/>
      <c r="CCK1365" s="76"/>
      <c r="CCL1365" s="76"/>
      <c r="CCM1365" s="76"/>
      <c r="CCN1365" s="76"/>
      <c r="CCO1365" s="76"/>
      <c r="CCP1365" s="76"/>
      <c r="CCQ1365" s="76"/>
      <c r="CCR1365" s="76"/>
      <c r="CCS1365" s="76"/>
      <c r="CCT1365" s="76"/>
      <c r="CCU1365" s="76"/>
      <c r="CCV1365" s="76"/>
      <c r="CCW1365" s="76"/>
      <c r="CCX1365" s="76"/>
      <c r="CCY1365" s="76"/>
      <c r="CCZ1365" s="76"/>
      <c r="CDA1365" s="76"/>
      <c r="CDB1365" s="76"/>
      <c r="CDC1365" s="76"/>
      <c r="CDD1365" s="76"/>
      <c r="CDE1365" s="76"/>
      <c r="CDF1365" s="76"/>
      <c r="CDG1365" s="76"/>
      <c r="CDH1365" s="76"/>
      <c r="CDI1365" s="76"/>
      <c r="CDJ1365" s="76"/>
      <c r="CDK1365" s="76"/>
      <c r="CDL1365" s="76"/>
      <c r="CDM1365" s="76"/>
      <c r="CDN1365" s="76"/>
      <c r="CDO1365" s="76"/>
      <c r="CDP1365" s="76"/>
      <c r="CDQ1365" s="76"/>
      <c r="CDR1365" s="76"/>
      <c r="CDS1365" s="76"/>
      <c r="CDT1365" s="76"/>
      <c r="CDU1365" s="76"/>
      <c r="CDV1365" s="76"/>
      <c r="CDW1365" s="76"/>
      <c r="CDX1365" s="76"/>
      <c r="CDY1365" s="76"/>
      <c r="CDZ1365" s="76"/>
      <c r="CEA1365" s="76"/>
      <c r="CEB1365" s="76"/>
      <c r="CEC1365" s="76"/>
      <c r="CED1365" s="76"/>
      <c r="CEE1365" s="76"/>
      <c r="CEF1365" s="76"/>
      <c r="CEG1365" s="76"/>
      <c r="CEH1365" s="76"/>
      <c r="CEI1365" s="76"/>
      <c r="CEJ1365" s="76"/>
      <c r="CEK1365" s="76"/>
      <c r="CEL1365" s="76"/>
      <c r="CEM1365" s="76"/>
      <c r="CEN1365" s="76"/>
      <c r="CEO1365" s="76"/>
      <c r="CEP1365" s="76"/>
      <c r="CEQ1365" s="76"/>
      <c r="CER1365" s="76"/>
      <c r="CES1365" s="76"/>
      <c r="CET1365" s="76"/>
      <c r="CEU1365" s="76"/>
      <c r="CEV1365" s="76"/>
      <c r="CEW1365" s="76"/>
      <c r="CEX1365" s="76"/>
      <c r="CEY1365" s="76"/>
      <c r="CEZ1365" s="76"/>
      <c r="CFA1365" s="76"/>
      <c r="CFB1365" s="76"/>
      <c r="CFC1365" s="76"/>
      <c r="CFD1365" s="76"/>
      <c r="CFE1365" s="76"/>
      <c r="CFF1365" s="76"/>
      <c r="CFG1365" s="76"/>
      <c r="CFH1365" s="76"/>
      <c r="CFI1365" s="76"/>
      <c r="CFJ1365" s="76"/>
      <c r="CFK1365" s="76"/>
      <c r="CFL1365" s="76"/>
      <c r="CFM1365" s="76"/>
      <c r="CFN1365" s="76"/>
      <c r="CFO1365" s="76"/>
      <c r="CFP1365" s="76"/>
      <c r="CFQ1365" s="76"/>
      <c r="CFR1365" s="76"/>
      <c r="CFS1365" s="76"/>
      <c r="CFT1365" s="76"/>
      <c r="CFU1365" s="76"/>
      <c r="CFV1365" s="76"/>
      <c r="CFW1365" s="76"/>
      <c r="CFX1365" s="76"/>
      <c r="CFY1365" s="76"/>
      <c r="CFZ1365" s="76"/>
      <c r="CGA1365" s="76"/>
      <c r="CGB1365" s="76"/>
      <c r="CGC1365" s="76"/>
      <c r="CGD1365" s="76"/>
      <c r="CGE1365" s="76"/>
      <c r="CGF1365" s="76"/>
      <c r="CGG1365" s="76"/>
      <c r="CGH1365" s="76"/>
      <c r="CGI1365" s="76"/>
      <c r="CGJ1365" s="76"/>
      <c r="CGK1365" s="76"/>
      <c r="CGL1365" s="76"/>
      <c r="CGM1365" s="76"/>
      <c r="CGN1365" s="76"/>
      <c r="CGO1365" s="76"/>
      <c r="CGP1365" s="76"/>
      <c r="CGQ1365" s="76"/>
      <c r="CGR1365" s="76"/>
      <c r="CGS1365" s="76"/>
      <c r="CGT1365" s="76"/>
      <c r="CGU1365" s="76"/>
      <c r="CGV1365" s="76"/>
      <c r="CGW1365" s="76"/>
      <c r="CGX1365" s="76"/>
      <c r="CGY1365" s="76"/>
      <c r="CGZ1365" s="76"/>
      <c r="CHA1365" s="76"/>
      <c r="CHB1365" s="76"/>
      <c r="CHC1365" s="76"/>
      <c r="CHD1365" s="76"/>
      <c r="CHE1365" s="76"/>
      <c r="CHF1365" s="76"/>
      <c r="CHG1365" s="76"/>
      <c r="CHH1365" s="76"/>
      <c r="CHI1365" s="76"/>
      <c r="CHJ1365" s="76"/>
      <c r="CHK1365" s="76"/>
      <c r="CHL1365" s="76"/>
      <c r="CHM1365" s="76"/>
      <c r="CHN1365" s="76"/>
      <c r="CHO1365" s="76"/>
      <c r="CHP1365" s="76"/>
      <c r="CHQ1365" s="76"/>
      <c r="CHR1365" s="76"/>
      <c r="CHS1365" s="76"/>
      <c r="CHT1365" s="76"/>
      <c r="CHU1365" s="76"/>
      <c r="CHV1365" s="76"/>
      <c r="CHW1365" s="76"/>
      <c r="CHX1365" s="76"/>
      <c r="CHY1365" s="76"/>
      <c r="CHZ1365" s="76"/>
      <c r="CIA1365" s="76"/>
      <c r="CIB1365" s="76"/>
      <c r="CIC1365" s="76"/>
      <c r="CID1365" s="76"/>
      <c r="CIE1365" s="76"/>
      <c r="CIF1365" s="76"/>
      <c r="CIG1365" s="76"/>
      <c r="CIH1365" s="76"/>
      <c r="CII1365" s="76"/>
      <c r="CIJ1365" s="76"/>
      <c r="CIK1365" s="76"/>
      <c r="CIL1365" s="76"/>
      <c r="CIM1365" s="76"/>
      <c r="CIN1365" s="76"/>
      <c r="CIO1365" s="76"/>
      <c r="CIP1365" s="76"/>
      <c r="CIQ1365" s="76"/>
      <c r="CIR1365" s="76"/>
      <c r="CIS1365" s="76"/>
      <c r="CIT1365" s="76"/>
      <c r="CIU1365" s="76"/>
      <c r="CIV1365" s="76"/>
      <c r="CIW1365" s="76"/>
      <c r="CIX1365" s="76"/>
      <c r="CIY1365" s="76"/>
      <c r="CIZ1365" s="76"/>
      <c r="CJA1365" s="76"/>
      <c r="CJB1365" s="76"/>
      <c r="CJC1365" s="76"/>
      <c r="CJD1365" s="76"/>
      <c r="CJE1365" s="76"/>
      <c r="CJF1365" s="76"/>
      <c r="CJG1365" s="76"/>
      <c r="CJH1365" s="76"/>
      <c r="CJI1365" s="76"/>
      <c r="CJJ1365" s="76"/>
      <c r="CJK1365" s="76"/>
      <c r="CJL1365" s="76"/>
      <c r="CJM1365" s="76"/>
      <c r="CJN1365" s="76"/>
      <c r="CJO1365" s="76"/>
      <c r="CJP1365" s="76"/>
      <c r="CJQ1365" s="76"/>
      <c r="CJR1365" s="76"/>
      <c r="CJS1365" s="76"/>
      <c r="CJT1365" s="76"/>
      <c r="CJU1365" s="50"/>
      <c r="CJV1365" s="76"/>
      <c r="CJW1365" s="76"/>
      <c r="CJX1365" s="76"/>
      <c r="CJY1365" s="76"/>
      <c r="CJZ1365" s="76"/>
      <c r="CKA1365" s="76"/>
      <c r="CKB1365" s="76"/>
      <c r="CKC1365" s="76"/>
      <c r="CKD1365" s="76"/>
      <c r="CKE1365" s="76"/>
      <c r="CKF1365" s="76"/>
      <c r="CKG1365" s="76"/>
      <c r="CKH1365" s="76"/>
      <c r="CKI1365" s="76"/>
      <c r="CKJ1365" s="76"/>
      <c r="CKK1365" s="76"/>
      <c r="CKL1365" s="76"/>
      <c r="CKM1365" s="76"/>
      <c r="CKN1365" s="76"/>
      <c r="CKO1365" s="76"/>
      <c r="CKP1365" s="76"/>
      <c r="CKQ1365" s="76"/>
      <c r="CKR1365" s="76"/>
      <c r="CKS1365" s="76"/>
      <c r="CKT1365" s="76"/>
      <c r="CKU1365" s="76"/>
      <c r="CKV1365" s="76"/>
      <c r="CKW1365" s="76"/>
      <c r="CKX1365" s="76"/>
      <c r="CKY1365" s="76"/>
      <c r="CKZ1365" s="76"/>
      <c r="CLA1365" s="76"/>
      <c r="CLB1365" s="76"/>
      <c r="CLC1365" s="76"/>
      <c r="CLD1365" s="76"/>
      <c r="CLE1365" s="76"/>
      <c r="CLF1365" s="76"/>
      <c r="CLG1365" s="76"/>
      <c r="CLH1365" s="76"/>
      <c r="CLI1365" s="76"/>
      <c r="CLJ1365" s="76"/>
      <c r="CLK1365" s="76"/>
      <c r="CLL1365" s="76"/>
      <c r="CLM1365" s="76"/>
      <c r="CLN1365" s="76"/>
      <c r="CLO1365" s="76"/>
      <c r="CLP1365" s="76"/>
      <c r="CLQ1365" s="76"/>
      <c r="CLR1365" s="76"/>
      <c r="CLS1365" s="76"/>
      <c r="CLT1365" s="76"/>
      <c r="CLU1365" s="76"/>
      <c r="CLV1365" s="76"/>
      <c r="CLW1365" s="76"/>
      <c r="CLX1365" s="76"/>
      <c r="CLY1365" s="76"/>
      <c r="CLZ1365" s="76"/>
      <c r="CMA1365" s="76"/>
      <c r="CMB1365" s="76"/>
      <c r="CMC1365" s="76"/>
      <c r="CMD1365" s="76"/>
      <c r="CME1365" s="76"/>
      <c r="CMF1365" s="76"/>
      <c r="CMG1365" s="76"/>
      <c r="CMH1365" s="76"/>
      <c r="CMI1365" s="76"/>
      <c r="CMJ1365" s="76"/>
      <c r="CMK1365" s="76"/>
      <c r="CML1365" s="76"/>
      <c r="CMM1365" s="76"/>
      <c r="CMN1365" s="76"/>
      <c r="CMO1365" s="76"/>
      <c r="CMP1365" s="76"/>
      <c r="CMQ1365" s="76"/>
      <c r="CMR1365" s="76"/>
      <c r="CMS1365" s="76"/>
      <c r="CMT1365" s="76"/>
      <c r="CMU1365" s="76"/>
      <c r="CMV1365" s="76"/>
      <c r="CMW1365" s="76"/>
      <c r="CMX1365" s="76"/>
      <c r="CMY1365" s="76"/>
      <c r="CMZ1365" s="76"/>
      <c r="CNA1365" s="76"/>
      <c r="CNB1365" s="76"/>
      <c r="CNC1365" s="76"/>
      <c r="CND1365" s="76"/>
      <c r="CNE1365" s="76"/>
      <c r="CNF1365" s="76"/>
      <c r="CNG1365" s="76"/>
      <c r="CNH1365" s="76"/>
      <c r="CNI1365" s="76"/>
      <c r="CNJ1365" s="76"/>
      <c r="CNK1365" s="76"/>
      <c r="CNL1365" s="76"/>
      <c r="CNM1365" s="76"/>
      <c r="CNN1365" s="76"/>
      <c r="CNO1365" s="76"/>
      <c r="CNP1365" s="76"/>
      <c r="CNQ1365" s="76"/>
      <c r="CNR1365" s="76"/>
      <c r="CNS1365" s="76"/>
      <c r="CNT1365" s="76"/>
      <c r="CNU1365" s="76"/>
      <c r="CNV1365" s="76"/>
      <c r="CNW1365" s="76"/>
      <c r="CNX1365" s="76"/>
      <c r="CNY1365" s="76"/>
      <c r="CNZ1365" s="76"/>
      <c r="COA1365" s="76"/>
      <c r="COB1365" s="76"/>
      <c r="COC1365" s="76"/>
      <c r="COD1365" s="76"/>
      <c r="COE1365" s="76"/>
      <c r="COF1365" s="76"/>
      <c r="COG1365" s="76"/>
      <c r="COH1365" s="76"/>
      <c r="COI1365" s="76"/>
      <c r="COJ1365" s="76"/>
      <c r="COK1365" s="76"/>
      <c r="COL1365" s="76"/>
      <c r="COM1365" s="76"/>
      <c r="CON1365" s="76"/>
      <c r="COO1365" s="76"/>
      <c r="COP1365" s="76"/>
      <c r="COQ1365" s="76"/>
      <c r="COR1365" s="76"/>
      <c r="COS1365" s="76"/>
      <c r="COT1365" s="76"/>
      <c r="COU1365" s="76"/>
      <c r="COV1365" s="76"/>
      <c r="COW1365" s="76"/>
      <c r="COX1365" s="76"/>
      <c r="COY1365" s="76"/>
      <c r="COZ1365" s="76"/>
      <c r="CPA1365" s="76"/>
      <c r="CPB1365" s="76"/>
      <c r="CPC1365" s="76"/>
      <c r="CPD1365" s="76"/>
      <c r="CPE1365" s="76"/>
      <c r="CPF1365" s="76"/>
      <c r="CPG1365" s="76"/>
      <c r="CPH1365" s="76"/>
      <c r="CPI1365" s="76"/>
      <c r="CPJ1365" s="76"/>
      <c r="CPK1365" s="76"/>
      <c r="CPL1365" s="76"/>
      <c r="CPM1365" s="76"/>
      <c r="CPN1365" s="76"/>
      <c r="CPO1365" s="76"/>
      <c r="CPP1365" s="76"/>
      <c r="CPQ1365" s="76"/>
      <c r="CPR1365" s="76"/>
      <c r="CPS1365" s="76"/>
      <c r="CPT1365" s="76"/>
      <c r="CPU1365" s="76"/>
      <c r="CPV1365" s="76"/>
      <c r="CPW1365" s="76"/>
      <c r="CPX1365" s="76"/>
      <c r="CPY1365" s="76"/>
      <c r="CPZ1365" s="76"/>
      <c r="CQA1365" s="76"/>
      <c r="CQB1365" s="76"/>
      <c r="CQC1365" s="76"/>
      <c r="CQD1365" s="76"/>
      <c r="CQE1365" s="76"/>
      <c r="CQF1365" s="76"/>
      <c r="CQG1365" s="76"/>
      <c r="CQH1365" s="76"/>
      <c r="CQI1365" s="76"/>
      <c r="CQJ1365" s="76"/>
      <c r="CQK1365" s="76"/>
      <c r="CQL1365" s="76"/>
      <c r="CQM1365" s="76"/>
      <c r="CQN1365" s="76"/>
      <c r="CQO1365" s="76"/>
      <c r="CQP1365" s="76"/>
      <c r="CQQ1365" s="76"/>
      <c r="CQR1365" s="76"/>
      <c r="CQS1365" s="76"/>
      <c r="CQT1365" s="76"/>
      <c r="CQU1365" s="76"/>
      <c r="CQV1365" s="76"/>
      <c r="CQW1365" s="76"/>
      <c r="CQX1365" s="76"/>
      <c r="CQY1365" s="76"/>
      <c r="CQZ1365" s="76"/>
      <c r="CRA1365" s="76"/>
      <c r="CRB1365" s="76"/>
      <c r="CRC1365" s="76"/>
      <c r="CRD1365" s="76"/>
      <c r="CRE1365" s="76"/>
      <c r="CRF1365" s="76"/>
      <c r="CRG1365" s="76"/>
      <c r="CRH1365" s="76"/>
      <c r="CRI1365" s="76"/>
      <c r="CRJ1365" s="76"/>
      <c r="CRK1365" s="76"/>
      <c r="CRL1365" s="76"/>
      <c r="CRM1365" s="76"/>
      <c r="CRN1365" s="76"/>
      <c r="CRO1365" s="76"/>
      <c r="CRP1365" s="76"/>
      <c r="CRQ1365" s="76"/>
      <c r="CRR1365" s="76"/>
      <c r="CRS1365" s="76"/>
      <c r="CRT1365" s="76"/>
      <c r="CRU1365" s="76"/>
      <c r="CRV1365" s="76"/>
      <c r="CRW1365" s="76"/>
      <c r="CRX1365" s="76"/>
      <c r="CRY1365" s="76"/>
      <c r="CRZ1365" s="76"/>
      <c r="CSA1365" s="76"/>
      <c r="CSB1365" s="76"/>
      <c r="CSC1365" s="76"/>
      <c r="CSD1365" s="76"/>
      <c r="CSE1365" s="76"/>
      <c r="CSF1365" s="76"/>
      <c r="CSG1365" s="76"/>
      <c r="CSH1365" s="76"/>
      <c r="CSI1365" s="76"/>
      <c r="CSJ1365" s="76"/>
      <c r="CSK1365" s="76"/>
      <c r="CSL1365" s="76"/>
      <c r="CSM1365" s="76"/>
      <c r="CSN1365" s="76"/>
      <c r="CSO1365" s="76"/>
      <c r="CSP1365" s="76"/>
      <c r="CSQ1365" s="76"/>
      <c r="CSR1365" s="76"/>
      <c r="CSS1365" s="76"/>
      <c r="CST1365" s="76"/>
      <c r="CSU1365" s="76"/>
      <c r="CSV1365" s="76"/>
      <c r="CSW1365" s="76"/>
      <c r="CSX1365" s="76"/>
      <c r="CSY1365" s="76"/>
      <c r="CSZ1365" s="76"/>
      <c r="CTA1365" s="76"/>
      <c r="CTB1365" s="76"/>
      <c r="CTC1365" s="76"/>
      <c r="CTD1365" s="76"/>
      <c r="CTE1365" s="76"/>
      <c r="CTF1365" s="76"/>
      <c r="CTG1365" s="76"/>
      <c r="CTH1365" s="76"/>
      <c r="CTI1365" s="76"/>
      <c r="CTJ1365" s="76"/>
      <c r="CTK1365" s="76"/>
      <c r="CTL1365" s="76"/>
      <c r="CTM1365" s="76"/>
      <c r="CTN1365" s="76"/>
      <c r="CTO1365" s="76"/>
      <c r="CTP1365" s="76"/>
      <c r="CTQ1365" s="50"/>
      <c r="CTR1365" s="76"/>
      <c r="CTS1365" s="76"/>
      <c r="CTT1365" s="76"/>
      <c r="CTU1365" s="76"/>
      <c r="CTV1365" s="76"/>
      <c r="CTW1365" s="76"/>
      <c r="CTX1365" s="76"/>
      <c r="CTY1365" s="76"/>
      <c r="CTZ1365" s="76"/>
      <c r="CUA1365" s="76"/>
      <c r="CUB1365" s="76"/>
      <c r="CUC1365" s="76"/>
      <c r="CUD1365" s="76"/>
      <c r="CUE1365" s="76"/>
      <c r="CUF1365" s="76"/>
      <c r="CUG1365" s="76"/>
      <c r="CUH1365" s="76"/>
      <c r="CUI1365" s="76"/>
      <c r="CUJ1365" s="76"/>
      <c r="CUK1365" s="76"/>
      <c r="CUL1365" s="76"/>
      <c r="CUM1365" s="76"/>
      <c r="CUN1365" s="76"/>
      <c r="CUO1365" s="76"/>
      <c r="CUP1365" s="76"/>
      <c r="CUQ1365" s="76"/>
      <c r="CUR1365" s="76"/>
      <c r="CUS1365" s="76"/>
      <c r="CUT1365" s="76"/>
      <c r="CUU1365" s="76"/>
      <c r="CUV1365" s="76"/>
      <c r="CUW1365" s="76"/>
      <c r="CUX1365" s="76"/>
      <c r="CUY1365" s="76"/>
      <c r="CUZ1365" s="76"/>
      <c r="CVA1365" s="76"/>
      <c r="CVB1365" s="76"/>
      <c r="CVC1365" s="76"/>
      <c r="CVD1365" s="76"/>
      <c r="CVE1365" s="76"/>
      <c r="CVF1365" s="76"/>
      <c r="CVG1365" s="76"/>
      <c r="CVH1365" s="76"/>
      <c r="CVI1365" s="76"/>
      <c r="CVJ1365" s="76"/>
      <c r="CVK1365" s="76"/>
      <c r="CVL1365" s="76"/>
      <c r="CVM1365" s="76"/>
      <c r="CVN1365" s="76"/>
      <c r="CVO1365" s="76"/>
      <c r="CVP1365" s="76"/>
      <c r="CVQ1365" s="76"/>
      <c r="CVR1365" s="76"/>
      <c r="CVS1365" s="76"/>
      <c r="CVT1365" s="76"/>
      <c r="CVU1365" s="76"/>
      <c r="CVV1365" s="76"/>
      <c r="CVW1365" s="76"/>
      <c r="CVX1365" s="76"/>
      <c r="CVY1365" s="76"/>
      <c r="CVZ1365" s="76"/>
      <c r="CWA1365" s="76"/>
      <c r="CWB1365" s="76"/>
      <c r="CWC1365" s="76"/>
      <c r="CWD1365" s="76"/>
      <c r="CWE1365" s="76"/>
      <c r="CWF1365" s="76"/>
      <c r="CWG1365" s="76"/>
      <c r="CWH1365" s="76"/>
      <c r="CWI1365" s="76"/>
      <c r="CWJ1365" s="76"/>
      <c r="CWK1365" s="76"/>
      <c r="CWL1365" s="76"/>
      <c r="CWM1365" s="76"/>
      <c r="CWN1365" s="76"/>
      <c r="CWO1365" s="76"/>
      <c r="CWP1365" s="76"/>
      <c r="CWQ1365" s="76"/>
      <c r="CWR1365" s="76"/>
      <c r="CWS1365" s="76"/>
      <c r="CWT1365" s="76"/>
      <c r="CWU1365" s="76"/>
      <c r="CWV1365" s="76"/>
      <c r="CWW1365" s="76"/>
      <c r="CWX1365" s="76"/>
      <c r="CWY1365" s="76"/>
      <c r="CWZ1365" s="76"/>
      <c r="CXA1365" s="76"/>
      <c r="CXB1365" s="76"/>
      <c r="CXC1365" s="76"/>
      <c r="CXD1365" s="76"/>
      <c r="CXE1365" s="76"/>
      <c r="CXF1365" s="76"/>
      <c r="CXG1365" s="76"/>
      <c r="CXH1365" s="76"/>
      <c r="CXI1365" s="76"/>
      <c r="CXJ1365" s="76"/>
      <c r="CXK1365" s="76"/>
      <c r="CXL1365" s="76"/>
      <c r="CXM1365" s="76"/>
      <c r="CXN1365" s="76"/>
      <c r="CXO1365" s="76"/>
      <c r="CXP1365" s="76"/>
      <c r="CXQ1365" s="76"/>
      <c r="CXR1365" s="76"/>
      <c r="CXS1365" s="76"/>
      <c r="CXT1365" s="76"/>
      <c r="CXU1365" s="76"/>
      <c r="CXV1365" s="76"/>
      <c r="CXW1365" s="76"/>
      <c r="CXX1365" s="76"/>
      <c r="CXY1365" s="76"/>
      <c r="CXZ1365" s="76"/>
      <c r="CYA1365" s="76"/>
      <c r="CYB1365" s="76"/>
      <c r="CYC1365" s="76"/>
      <c r="CYD1365" s="76"/>
      <c r="CYE1365" s="76"/>
      <c r="CYF1365" s="76"/>
      <c r="CYG1365" s="76"/>
      <c r="CYH1365" s="76"/>
      <c r="CYI1365" s="76"/>
      <c r="CYJ1365" s="76"/>
      <c r="CYK1365" s="76"/>
      <c r="CYL1365" s="76"/>
      <c r="CYM1365" s="76"/>
      <c r="CYN1365" s="76"/>
      <c r="CYO1365" s="76"/>
      <c r="CYP1365" s="76"/>
      <c r="CYQ1365" s="76"/>
      <c r="CYR1365" s="76"/>
      <c r="CYS1365" s="76"/>
      <c r="CYT1365" s="76"/>
      <c r="CYU1365" s="76"/>
      <c r="CYV1365" s="76"/>
      <c r="CYW1365" s="76"/>
      <c r="CYX1365" s="76"/>
      <c r="CYY1365" s="76"/>
      <c r="CYZ1365" s="76"/>
      <c r="CZA1365" s="76"/>
      <c r="CZB1365" s="76"/>
      <c r="CZC1365" s="76"/>
      <c r="CZD1365" s="76"/>
      <c r="CZE1365" s="76"/>
      <c r="CZF1365" s="76"/>
      <c r="CZG1365" s="76"/>
      <c r="CZH1365" s="76"/>
      <c r="CZI1365" s="76"/>
      <c r="CZJ1365" s="76"/>
      <c r="CZK1365" s="76"/>
      <c r="CZL1365" s="76"/>
      <c r="CZM1365" s="76"/>
      <c r="CZN1365" s="76"/>
      <c r="CZO1365" s="76"/>
      <c r="CZP1365" s="76"/>
      <c r="CZQ1365" s="76"/>
      <c r="CZR1365" s="76"/>
      <c r="CZS1365" s="76"/>
      <c r="CZT1365" s="76"/>
      <c r="CZU1365" s="76"/>
      <c r="CZV1365" s="76"/>
      <c r="CZW1365" s="76"/>
      <c r="CZX1365" s="76"/>
      <c r="CZY1365" s="76"/>
      <c r="CZZ1365" s="76"/>
      <c r="DAA1365" s="76"/>
      <c r="DAB1365" s="76"/>
      <c r="DAC1365" s="76"/>
      <c r="DAD1365" s="76"/>
      <c r="DAE1365" s="76"/>
      <c r="DAF1365" s="76"/>
      <c r="DAG1365" s="76"/>
      <c r="DAH1365" s="76"/>
      <c r="DAI1365" s="76"/>
      <c r="DAJ1365" s="76"/>
      <c r="DAK1365" s="76"/>
      <c r="DAL1365" s="76"/>
      <c r="DAM1365" s="76"/>
      <c r="DAN1365" s="76"/>
      <c r="DAO1365" s="76"/>
      <c r="DAP1365" s="76"/>
      <c r="DAQ1365" s="76"/>
      <c r="DAR1365" s="76"/>
      <c r="DAS1365" s="76"/>
      <c r="DAT1365" s="76"/>
      <c r="DAU1365" s="76"/>
      <c r="DAV1365" s="76"/>
      <c r="DAW1365" s="76"/>
      <c r="DAX1365" s="76"/>
      <c r="DAY1365" s="76"/>
      <c r="DAZ1365" s="76"/>
      <c r="DBA1365" s="76"/>
      <c r="DBB1365" s="76"/>
      <c r="DBC1365" s="76"/>
      <c r="DBD1365" s="76"/>
      <c r="DBE1365" s="76"/>
      <c r="DBF1365" s="76"/>
      <c r="DBG1365" s="76"/>
      <c r="DBH1365" s="76"/>
      <c r="DBI1365" s="76"/>
      <c r="DBJ1365" s="76"/>
      <c r="DBK1365" s="76"/>
      <c r="DBL1365" s="76"/>
      <c r="DBM1365" s="76"/>
      <c r="DBN1365" s="76"/>
      <c r="DBO1365" s="76"/>
      <c r="DBP1365" s="76"/>
      <c r="DBQ1365" s="76"/>
      <c r="DBR1365" s="76"/>
      <c r="DBS1365" s="76"/>
      <c r="DBT1365" s="76"/>
      <c r="DBU1365" s="76"/>
      <c r="DBV1365" s="76"/>
      <c r="DBW1365" s="76"/>
      <c r="DBX1365" s="76"/>
      <c r="DBY1365" s="76"/>
      <c r="DBZ1365" s="76"/>
      <c r="DCA1365" s="76"/>
      <c r="DCB1365" s="76"/>
      <c r="DCC1365" s="76"/>
      <c r="DCD1365" s="76"/>
      <c r="DCE1365" s="76"/>
      <c r="DCF1365" s="76"/>
      <c r="DCG1365" s="76"/>
      <c r="DCH1365" s="76"/>
      <c r="DCI1365" s="76"/>
      <c r="DCJ1365" s="76"/>
      <c r="DCK1365" s="76"/>
      <c r="DCL1365" s="76"/>
      <c r="DCM1365" s="76"/>
      <c r="DCN1365" s="76"/>
      <c r="DCO1365" s="76"/>
      <c r="DCP1365" s="76"/>
      <c r="DCQ1365" s="76"/>
      <c r="DCR1365" s="76"/>
      <c r="DCS1365" s="76"/>
      <c r="DCT1365" s="76"/>
      <c r="DCU1365" s="76"/>
      <c r="DCV1365" s="76"/>
      <c r="DCW1365" s="76"/>
      <c r="DCX1365" s="76"/>
      <c r="DCY1365" s="76"/>
      <c r="DCZ1365" s="76"/>
      <c r="DDA1365" s="76"/>
      <c r="DDB1365" s="76"/>
      <c r="DDC1365" s="76"/>
      <c r="DDD1365" s="76"/>
      <c r="DDE1365" s="76"/>
      <c r="DDF1365" s="76"/>
      <c r="DDG1365" s="76"/>
      <c r="DDH1365" s="76"/>
      <c r="DDI1365" s="76"/>
      <c r="DDJ1365" s="76"/>
      <c r="DDK1365" s="76"/>
      <c r="DDL1365" s="76"/>
      <c r="DDM1365" s="50"/>
      <c r="DDN1365" s="76"/>
      <c r="DDO1365" s="76"/>
      <c r="DDP1365" s="76"/>
      <c r="DDQ1365" s="76"/>
      <c r="DDR1365" s="76"/>
      <c r="DDS1365" s="76"/>
      <c r="DDT1365" s="76"/>
      <c r="DDU1365" s="76"/>
      <c r="DDV1365" s="76"/>
      <c r="DDW1365" s="76"/>
      <c r="DDX1365" s="76"/>
      <c r="DDY1365" s="76"/>
      <c r="DDZ1365" s="76"/>
      <c r="DEA1365" s="76"/>
      <c r="DEB1365" s="76"/>
      <c r="DEC1365" s="76"/>
      <c r="DED1365" s="76"/>
      <c r="DEE1365" s="76"/>
      <c r="DEF1365" s="76"/>
      <c r="DEG1365" s="76"/>
      <c r="DEH1365" s="76"/>
      <c r="DEI1365" s="76"/>
      <c r="DEJ1365" s="76"/>
      <c r="DEK1365" s="76"/>
      <c r="DEL1365" s="76"/>
      <c r="DEM1365" s="76"/>
      <c r="DEN1365" s="76"/>
      <c r="DEO1365" s="76"/>
      <c r="DEP1365" s="76"/>
      <c r="DEQ1365" s="76"/>
      <c r="DER1365" s="76"/>
      <c r="DES1365" s="76"/>
      <c r="DET1365" s="76"/>
      <c r="DEU1365" s="76"/>
      <c r="DEV1365" s="76"/>
      <c r="DEW1365" s="76"/>
      <c r="DEX1365" s="76"/>
      <c r="DEY1365" s="76"/>
      <c r="DEZ1365" s="76"/>
      <c r="DFA1365" s="76"/>
      <c r="DFB1365" s="76"/>
      <c r="DFC1365" s="76"/>
      <c r="DFD1365" s="76"/>
      <c r="DFE1365" s="76"/>
      <c r="DFF1365" s="76"/>
      <c r="DFG1365" s="76"/>
      <c r="DFH1365" s="76"/>
      <c r="DFI1365" s="76"/>
      <c r="DFJ1365" s="76"/>
      <c r="DFK1365" s="76"/>
      <c r="DFL1365" s="76"/>
      <c r="DFM1365" s="76"/>
      <c r="DFN1365" s="76"/>
      <c r="DFO1365" s="76"/>
      <c r="DFP1365" s="76"/>
      <c r="DFQ1365" s="76"/>
      <c r="DFR1365" s="76"/>
      <c r="DFS1365" s="76"/>
      <c r="DFT1365" s="76"/>
      <c r="DFU1365" s="76"/>
      <c r="DFV1365" s="76"/>
      <c r="DFW1365" s="76"/>
      <c r="DFX1365" s="76"/>
      <c r="DFY1365" s="76"/>
      <c r="DFZ1365" s="76"/>
      <c r="DGA1365" s="76"/>
      <c r="DGB1365" s="76"/>
      <c r="DGC1365" s="76"/>
      <c r="DGD1365" s="76"/>
      <c r="DGE1365" s="76"/>
      <c r="DGF1365" s="76"/>
      <c r="DGG1365" s="76"/>
      <c r="DGH1365" s="76"/>
      <c r="DGI1365" s="76"/>
      <c r="DGJ1365" s="76"/>
      <c r="DGK1365" s="76"/>
      <c r="DGL1365" s="76"/>
      <c r="DGM1365" s="76"/>
      <c r="DGN1365" s="76"/>
      <c r="DGO1365" s="76"/>
      <c r="DGP1365" s="76"/>
      <c r="DGQ1365" s="76"/>
      <c r="DGR1365" s="76"/>
      <c r="DGS1365" s="76"/>
      <c r="DGT1365" s="76"/>
      <c r="DGU1365" s="76"/>
      <c r="DGV1365" s="76"/>
      <c r="DGW1365" s="76"/>
      <c r="DGX1365" s="76"/>
      <c r="DGY1365" s="76"/>
      <c r="DGZ1365" s="76"/>
      <c r="DHA1365" s="76"/>
      <c r="DHB1365" s="76"/>
      <c r="DHC1365" s="76"/>
      <c r="DHD1365" s="76"/>
      <c r="DHE1365" s="76"/>
      <c r="DHF1365" s="76"/>
      <c r="DHG1365" s="76"/>
      <c r="DHH1365" s="76"/>
      <c r="DHI1365" s="76"/>
      <c r="DHJ1365" s="76"/>
      <c r="DHK1365" s="76"/>
      <c r="DHL1365" s="76"/>
      <c r="DHM1365" s="76"/>
      <c r="DHN1365" s="76"/>
      <c r="DHO1365" s="76"/>
      <c r="DHP1365" s="76"/>
      <c r="DHQ1365" s="76"/>
      <c r="DHR1365" s="76"/>
      <c r="DHS1365" s="76"/>
      <c r="DHT1365" s="76"/>
      <c r="DHU1365" s="76"/>
      <c r="DHV1365" s="76"/>
      <c r="DHW1365" s="76"/>
      <c r="DHX1365" s="76"/>
      <c r="DHY1365" s="76"/>
      <c r="DHZ1365" s="76"/>
      <c r="DIA1365" s="76"/>
      <c r="DIB1365" s="76"/>
      <c r="DIC1365" s="76"/>
      <c r="DID1365" s="76"/>
      <c r="DIE1365" s="76"/>
      <c r="DIF1365" s="76"/>
      <c r="DIG1365" s="76"/>
      <c r="DIH1365" s="76"/>
      <c r="DII1365" s="76"/>
      <c r="DIJ1365" s="76"/>
      <c r="DIK1365" s="76"/>
      <c r="DIL1365" s="76"/>
      <c r="DIM1365" s="76"/>
      <c r="DIN1365" s="76"/>
      <c r="DIO1365" s="76"/>
      <c r="DIP1365" s="76"/>
      <c r="DIQ1365" s="76"/>
      <c r="DIR1365" s="76"/>
      <c r="DIS1365" s="76"/>
      <c r="DIT1365" s="76"/>
      <c r="DIU1365" s="76"/>
      <c r="DIV1365" s="76"/>
      <c r="DIW1365" s="76"/>
      <c r="DIX1365" s="76"/>
      <c r="DIY1365" s="76"/>
      <c r="DIZ1365" s="76"/>
      <c r="DJA1365" s="76"/>
      <c r="DJB1365" s="76"/>
      <c r="DJC1365" s="76"/>
      <c r="DJD1365" s="76"/>
      <c r="DJE1365" s="76"/>
      <c r="DJF1365" s="76"/>
      <c r="DJG1365" s="76"/>
      <c r="DJH1365" s="76"/>
      <c r="DJI1365" s="76"/>
      <c r="DJJ1365" s="76"/>
      <c r="DJK1365" s="76"/>
      <c r="DJL1365" s="76"/>
      <c r="DJM1365" s="76"/>
      <c r="DJN1365" s="76"/>
      <c r="DJO1365" s="76"/>
      <c r="DJP1365" s="76"/>
      <c r="DJQ1365" s="76"/>
      <c r="DJR1365" s="76"/>
      <c r="DJS1365" s="76"/>
      <c r="DJT1365" s="76"/>
      <c r="DJU1365" s="76"/>
      <c r="DJV1365" s="76"/>
      <c r="DJW1365" s="76"/>
      <c r="DJX1365" s="76"/>
      <c r="DJY1365" s="76"/>
      <c r="DJZ1365" s="76"/>
      <c r="DKA1365" s="76"/>
      <c r="DKB1365" s="76"/>
      <c r="DKC1365" s="76"/>
      <c r="DKD1365" s="76"/>
      <c r="DKE1365" s="76"/>
      <c r="DKF1365" s="76"/>
      <c r="DKG1365" s="76"/>
      <c r="DKH1365" s="76"/>
      <c r="DKI1365" s="76"/>
      <c r="DKJ1365" s="76"/>
      <c r="DKK1365" s="76"/>
      <c r="DKL1365" s="76"/>
      <c r="DKM1365" s="76"/>
      <c r="DKN1365" s="76"/>
      <c r="DKO1365" s="76"/>
      <c r="DKP1365" s="76"/>
      <c r="DKQ1365" s="76"/>
      <c r="DKR1365" s="76"/>
      <c r="DKS1365" s="76"/>
      <c r="DKT1365" s="76"/>
      <c r="DKU1365" s="76"/>
      <c r="DKV1365" s="76"/>
      <c r="DKW1365" s="76"/>
      <c r="DKX1365" s="76"/>
      <c r="DKY1365" s="76"/>
      <c r="DKZ1365" s="76"/>
      <c r="DLA1365" s="76"/>
      <c r="DLB1365" s="76"/>
      <c r="DLC1365" s="76"/>
      <c r="DLD1365" s="76"/>
      <c r="DLE1365" s="76"/>
      <c r="DLF1365" s="76"/>
      <c r="DLG1365" s="76"/>
      <c r="DLH1365" s="76"/>
      <c r="DLI1365" s="76"/>
      <c r="DLJ1365" s="76"/>
      <c r="DLK1365" s="76"/>
      <c r="DLL1365" s="76"/>
      <c r="DLM1365" s="76"/>
      <c r="DLN1365" s="76"/>
      <c r="DLO1365" s="76"/>
      <c r="DLP1365" s="76"/>
      <c r="DLQ1365" s="76"/>
      <c r="DLR1365" s="76"/>
      <c r="DLS1365" s="76"/>
      <c r="DLT1365" s="76"/>
      <c r="DLU1365" s="76"/>
      <c r="DLV1365" s="76"/>
      <c r="DLW1365" s="76"/>
      <c r="DLX1365" s="76"/>
      <c r="DLY1365" s="76"/>
      <c r="DLZ1365" s="76"/>
      <c r="DMA1365" s="76"/>
      <c r="DMB1365" s="76"/>
      <c r="DMC1365" s="76"/>
      <c r="DMD1365" s="76"/>
      <c r="DME1365" s="76"/>
      <c r="DMF1365" s="76"/>
      <c r="DMG1365" s="76"/>
      <c r="DMH1365" s="76"/>
      <c r="DMI1365" s="76"/>
      <c r="DMJ1365" s="76"/>
      <c r="DMK1365" s="76"/>
      <c r="DML1365" s="76"/>
      <c r="DMM1365" s="76"/>
      <c r="DMN1365" s="76"/>
      <c r="DMO1365" s="76"/>
      <c r="DMP1365" s="76"/>
      <c r="DMQ1365" s="76"/>
      <c r="DMR1365" s="76"/>
      <c r="DMS1365" s="76"/>
      <c r="DMT1365" s="76"/>
      <c r="DMU1365" s="76"/>
      <c r="DMV1365" s="76"/>
      <c r="DMW1365" s="76"/>
      <c r="DMX1365" s="76"/>
      <c r="DMY1365" s="76"/>
      <c r="DMZ1365" s="76"/>
      <c r="DNA1365" s="76"/>
      <c r="DNB1365" s="76"/>
      <c r="DNC1365" s="76"/>
      <c r="DND1365" s="76"/>
      <c r="DNE1365" s="76"/>
      <c r="DNF1365" s="76"/>
      <c r="DNG1365" s="76"/>
      <c r="DNH1365" s="76"/>
      <c r="DNI1365" s="50"/>
      <c r="DNJ1365" s="76"/>
      <c r="DNK1365" s="76"/>
      <c r="DNL1365" s="76"/>
      <c r="DNM1365" s="76"/>
      <c r="DNN1365" s="76"/>
      <c r="DNO1365" s="76"/>
      <c r="DNP1365" s="76"/>
      <c r="DNQ1365" s="76"/>
      <c r="DNR1365" s="76"/>
      <c r="DNS1365" s="76"/>
      <c r="DNT1365" s="76"/>
      <c r="DNU1365" s="76"/>
      <c r="DNV1365" s="76"/>
      <c r="DNW1365" s="76"/>
      <c r="DNX1365" s="76"/>
      <c r="DNY1365" s="76"/>
      <c r="DNZ1365" s="76"/>
      <c r="DOA1365" s="76"/>
      <c r="DOB1365" s="76"/>
      <c r="DOC1365" s="76"/>
      <c r="DOD1365" s="76"/>
      <c r="DOE1365" s="76"/>
      <c r="DOF1365" s="76"/>
      <c r="DOG1365" s="76"/>
      <c r="DOH1365" s="76"/>
      <c r="DOI1365" s="76"/>
      <c r="DOJ1365" s="76"/>
      <c r="DOK1365" s="76"/>
      <c r="DOL1365" s="76"/>
      <c r="DOM1365" s="76"/>
      <c r="DON1365" s="76"/>
      <c r="DOO1365" s="76"/>
      <c r="DOP1365" s="76"/>
      <c r="DOQ1365" s="76"/>
      <c r="DOR1365" s="76"/>
      <c r="DOS1365" s="76"/>
      <c r="DOT1365" s="76"/>
      <c r="DOU1365" s="76"/>
      <c r="DOV1365" s="76"/>
      <c r="DOW1365" s="76"/>
      <c r="DOX1365" s="76"/>
      <c r="DOY1365" s="76"/>
      <c r="DOZ1365" s="76"/>
      <c r="DPA1365" s="76"/>
      <c r="DPB1365" s="76"/>
      <c r="DPC1365" s="76"/>
      <c r="DPD1365" s="76"/>
      <c r="DPE1365" s="76"/>
      <c r="DPF1365" s="76"/>
      <c r="DPG1365" s="76"/>
      <c r="DPH1365" s="76"/>
      <c r="DPI1365" s="76"/>
      <c r="DPJ1365" s="76"/>
      <c r="DPK1365" s="76"/>
      <c r="DPL1365" s="76"/>
      <c r="DPM1365" s="76"/>
      <c r="DPN1365" s="76"/>
      <c r="DPO1365" s="76"/>
      <c r="DPP1365" s="76"/>
      <c r="DPQ1365" s="76"/>
      <c r="DPR1365" s="76"/>
      <c r="DPS1365" s="76"/>
      <c r="DPT1365" s="76"/>
      <c r="DPU1365" s="76"/>
      <c r="DPV1365" s="76"/>
      <c r="DPW1365" s="76"/>
      <c r="DPX1365" s="76"/>
      <c r="DPY1365" s="76"/>
      <c r="DPZ1365" s="76"/>
      <c r="DQA1365" s="76"/>
      <c r="DQB1365" s="76"/>
      <c r="DQC1365" s="76"/>
      <c r="DQD1365" s="76"/>
      <c r="DQE1365" s="76"/>
      <c r="DQF1365" s="76"/>
      <c r="DQG1365" s="76"/>
      <c r="DQH1365" s="76"/>
      <c r="DQI1365" s="76"/>
      <c r="DQJ1365" s="76"/>
      <c r="DQK1365" s="76"/>
      <c r="DQL1365" s="76"/>
      <c r="DQM1365" s="76"/>
      <c r="DQN1365" s="76"/>
      <c r="DQO1365" s="76"/>
      <c r="DQP1365" s="76"/>
      <c r="DQQ1365" s="76"/>
      <c r="DQR1365" s="76"/>
      <c r="DQS1365" s="76"/>
      <c r="DQT1365" s="76"/>
      <c r="DQU1365" s="76"/>
      <c r="DQV1365" s="76"/>
      <c r="DQW1365" s="76"/>
      <c r="DQX1365" s="76"/>
      <c r="DQY1365" s="76"/>
      <c r="DQZ1365" s="76"/>
      <c r="DRA1365" s="76"/>
      <c r="DRB1365" s="76"/>
      <c r="DRC1365" s="76"/>
      <c r="DRD1365" s="76"/>
      <c r="DRE1365" s="76"/>
      <c r="DRF1365" s="76"/>
      <c r="DRG1365" s="76"/>
      <c r="DRH1365" s="76"/>
      <c r="DRI1365" s="76"/>
      <c r="DRJ1365" s="76"/>
      <c r="DRK1365" s="76"/>
      <c r="DRL1365" s="76"/>
      <c r="DRM1365" s="76"/>
      <c r="DRN1365" s="76"/>
      <c r="DRO1365" s="76"/>
      <c r="DRP1365" s="76"/>
      <c r="DRQ1365" s="76"/>
      <c r="DRR1365" s="76"/>
      <c r="DRS1365" s="76"/>
      <c r="DRT1365" s="76"/>
      <c r="DRU1365" s="76"/>
      <c r="DRV1365" s="76"/>
      <c r="DRW1365" s="76"/>
      <c r="DRX1365" s="76"/>
      <c r="DRY1365" s="76"/>
      <c r="DRZ1365" s="76"/>
      <c r="DSA1365" s="76"/>
      <c r="DSB1365" s="76"/>
      <c r="DSC1365" s="76"/>
      <c r="DSD1365" s="76"/>
      <c r="DSE1365" s="76"/>
      <c r="DSF1365" s="76"/>
      <c r="DSG1365" s="76"/>
      <c r="DSH1365" s="76"/>
      <c r="DSI1365" s="76"/>
      <c r="DSJ1365" s="76"/>
      <c r="DSK1365" s="76"/>
      <c r="DSL1365" s="76"/>
      <c r="DSM1365" s="76"/>
      <c r="DSN1365" s="76"/>
      <c r="DSO1365" s="76"/>
      <c r="DSP1365" s="76"/>
      <c r="DSQ1365" s="76"/>
      <c r="DSR1365" s="76"/>
      <c r="DSS1365" s="76"/>
      <c r="DST1365" s="76"/>
      <c r="DSU1365" s="76"/>
      <c r="DSV1365" s="76"/>
      <c r="DSW1365" s="76"/>
      <c r="DSX1365" s="76"/>
      <c r="DSY1365" s="76"/>
      <c r="DSZ1365" s="76"/>
      <c r="DTA1365" s="76"/>
      <c r="DTB1365" s="76"/>
      <c r="DTC1365" s="76"/>
      <c r="DTD1365" s="76"/>
      <c r="DTE1365" s="76"/>
      <c r="DTF1365" s="76"/>
      <c r="DTG1365" s="76"/>
      <c r="DTH1365" s="76"/>
      <c r="DTI1365" s="76"/>
      <c r="DTJ1365" s="76"/>
      <c r="DTK1365" s="76"/>
      <c r="DTL1365" s="76"/>
      <c r="DTM1365" s="76"/>
      <c r="DTN1365" s="76"/>
      <c r="DTO1365" s="76"/>
      <c r="DTP1365" s="76"/>
      <c r="DTQ1365" s="76"/>
      <c r="DTR1365" s="76"/>
      <c r="DTS1365" s="76"/>
      <c r="DTT1365" s="76"/>
      <c r="DTU1365" s="76"/>
      <c r="DTV1365" s="76"/>
      <c r="DTW1365" s="76"/>
      <c r="DTX1365" s="76"/>
      <c r="DTY1365" s="76"/>
      <c r="DTZ1365" s="76"/>
      <c r="DUA1365" s="76"/>
      <c r="DUB1365" s="76"/>
      <c r="DUC1365" s="76"/>
      <c r="DUD1365" s="76"/>
      <c r="DUE1365" s="76"/>
      <c r="DUF1365" s="76"/>
      <c r="DUG1365" s="76"/>
      <c r="DUH1365" s="76"/>
      <c r="DUI1365" s="76"/>
      <c r="DUJ1365" s="76"/>
      <c r="DUK1365" s="76"/>
      <c r="DUL1365" s="76"/>
      <c r="DUM1365" s="76"/>
      <c r="DUN1365" s="76"/>
      <c r="DUO1365" s="76"/>
      <c r="DUP1365" s="76"/>
      <c r="DUQ1365" s="76"/>
      <c r="DUR1365" s="76"/>
      <c r="DUS1365" s="76"/>
      <c r="DUT1365" s="76"/>
      <c r="DUU1365" s="76"/>
      <c r="DUV1365" s="76"/>
      <c r="DUW1365" s="76"/>
      <c r="DUX1365" s="76"/>
      <c r="DUY1365" s="76"/>
      <c r="DUZ1365" s="76"/>
      <c r="DVA1365" s="76"/>
      <c r="DVB1365" s="76"/>
      <c r="DVC1365" s="76"/>
      <c r="DVD1365" s="76"/>
      <c r="DVE1365" s="76"/>
      <c r="DVF1365" s="76"/>
      <c r="DVG1365" s="76"/>
      <c r="DVH1365" s="76"/>
      <c r="DVI1365" s="76"/>
      <c r="DVJ1365" s="76"/>
      <c r="DVK1365" s="76"/>
      <c r="DVL1365" s="76"/>
      <c r="DVM1365" s="76"/>
      <c r="DVN1365" s="76"/>
      <c r="DVO1365" s="76"/>
      <c r="DVP1365" s="76"/>
      <c r="DVQ1365" s="76"/>
      <c r="DVR1365" s="76"/>
      <c r="DVS1365" s="76"/>
      <c r="DVT1365" s="76"/>
      <c r="DVU1365" s="76"/>
      <c r="DVV1365" s="76"/>
      <c r="DVW1365" s="76"/>
      <c r="DVX1365" s="76"/>
      <c r="DVY1365" s="76"/>
      <c r="DVZ1365" s="76"/>
      <c r="DWA1365" s="76"/>
      <c r="DWB1365" s="76"/>
      <c r="DWC1365" s="76"/>
      <c r="DWD1365" s="76"/>
      <c r="DWE1365" s="76"/>
      <c r="DWF1365" s="76"/>
      <c r="DWG1365" s="76"/>
      <c r="DWH1365" s="76"/>
      <c r="DWI1365" s="76"/>
      <c r="DWJ1365" s="76"/>
      <c r="DWK1365" s="76"/>
      <c r="DWL1365" s="76"/>
      <c r="DWM1365" s="76"/>
      <c r="DWN1365" s="76"/>
      <c r="DWO1365" s="76"/>
      <c r="DWP1365" s="76"/>
      <c r="DWQ1365" s="76"/>
      <c r="DWR1365" s="76"/>
      <c r="DWS1365" s="76"/>
      <c r="DWT1365" s="76"/>
      <c r="DWU1365" s="76"/>
      <c r="DWV1365" s="76"/>
      <c r="DWW1365" s="76"/>
      <c r="DWX1365" s="76"/>
      <c r="DWY1365" s="76"/>
      <c r="DWZ1365" s="76"/>
      <c r="DXA1365" s="76"/>
      <c r="DXB1365" s="76"/>
      <c r="DXC1365" s="76"/>
      <c r="DXD1365" s="76"/>
      <c r="DXE1365" s="50"/>
      <c r="DXF1365" s="76"/>
      <c r="DXG1365" s="76"/>
      <c r="DXH1365" s="76"/>
      <c r="DXI1365" s="76"/>
      <c r="DXJ1365" s="76"/>
      <c r="DXK1365" s="76"/>
      <c r="DXL1365" s="76"/>
      <c r="DXM1365" s="76"/>
      <c r="DXN1365" s="76"/>
      <c r="DXO1365" s="76"/>
      <c r="DXP1365" s="76"/>
      <c r="DXQ1365" s="76"/>
      <c r="DXR1365" s="76"/>
      <c r="DXS1365" s="76"/>
      <c r="DXT1365" s="76"/>
      <c r="DXU1365" s="76"/>
      <c r="DXV1365" s="76"/>
      <c r="DXW1365" s="76"/>
      <c r="DXX1365" s="76"/>
      <c r="DXY1365" s="76"/>
      <c r="DXZ1365" s="76"/>
      <c r="DYA1365" s="76"/>
      <c r="DYB1365" s="76"/>
      <c r="DYC1365" s="76"/>
      <c r="DYD1365" s="76"/>
      <c r="DYE1365" s="76"/>
      <c r="DYF1365" s="76"/>
      <c r="DYG1365" s="76"/>
      <c r="DYH1365" s="76"/>
      <c r="DYI1365" s="76"/>
      <c r="DYJ1365" s="76"/>
      <c r="DYK1365" s="76"/>
      <c r="DYL1365" s="76"/>
      <c r="DYM1365" s="76"/>
      <c r="DYN1365" s="76"/>
      <c r="DYO1365" s="76"/>
      <c r="DYP1365" s="76"/>
      <c r="DYQ1365" s="76"/>
      <c r="DYR1365" s="76"/>
      <c r="DYS1365" s="76"/>
      <c r="DYT1365" s="76"/>
      <c r="DYU1365" s="76"/>
      <c r="DYV1365" s="76"/>
      <c r="DYW1365" s="76"/>
      <c r="DYX1365" s="76"/>
      <c r="DYY1365" s="76"/>
      <c r="DYZ1365" s="76"/>
      <c r="DZA1365" s="76"/>
      <c r="DZB1365" s="76"/>
      <c r="DZC1365" s="76"/>
      <c r="DZD1365" s="76"/>
      <c r="DZE1365" s="76"/>
      <c r="DZF1365" s="76"/>
      <c r="DZG1365" s="76"/>
      <c r="DZH1365" s="76"/>
      <c r="DZI1365" s="76"/>
      <c r="DZJ1365" s="76"/>
      <c r="DZK1365" s="76"/>
      <c r="DZL1365" s="76"/>
      <c r="DZM1365" s="76"/>
      <c r="DZN1365" s="76"/>
      <c r="DZO1365" s="76"/>
      <c r="DZP1365" s="76"/>
      <c r="DZQ1365" s="76"/>
      <c r="DZR1365" s="76"/>
      <c r="DZS1365" s="76"/>
      <c r="DZT1365" s="76"/>
      <c r="DZU1365" s="76"/>
      <c r="DZV1365" s="76"/>
      <c r="DZW1365" s="76"/>
      <c r="DZX1365" s="76"/>
      <c r="DZY1365" s="76"/>
      <c r="DZZ1365" s="76"/>
      <c r="EAA1365" s="76"/>
      <c r="EAB1365" s="76"/>
      <c r="EAC1365" s="76"/>
      <c r="EAD1365" s="76"/>
      <c r="EAE1365" s="76"/>
      <c r="EAF1365" s="76"/>
      <c r="EAG1365" s="76"/>
      <c r="EAH1365" s="76"/>
      <c r="EAI1365" s="76"/>
      <c r="EAJ1365" s="76"/>
      <c r="EAK1365" s="76"/>
      <c r="EAL1365" s="76"/>
      <c r="EAM1365" s="76"/>
      <c r="EAN1365" s="76"/>
      <c r="EAO1365" s="76"/>
      <c r="EAP1365" s="76"/>
      <c r="EAQ1365" s="76"/>
      <c r="EAR1365" s="76"/>
      <c r="EAS1365" s="76"/>
      <c r="EAT1365" s="76"/>
      <c r="EAU1365" s="76"/>
      <c r="EAV1365" s="76"/>
      <c r="EAW1365" s="76"/>
      <c r="EAX1365" s="76"/>
      <c r="EAY1365" s="76"/>
      <c r="EAZ1365" s="76"/>
      <c r="EBA1365" s="76"/>
      <c r="EBB1365" s="76"/>
      <c r="EBC1365" s="76"/>
      <c r="EBD1365" s="76"/>
      <c r="EBE1365" s="76"/>
      <c r="EBF1365" s="76"/>
      <c r="EBG1365" s="76"/>
      <c r="EBH1365" s="76"/>
      <c r="EBI1365" s="76"/>
      <c r="EBJ1365" s="76"/>
      <c r="EBK1365" s="76"/>
      <c r="EBL1365" s="76"/>
      <c r="EBM1365" s="76"/>
      <c r="EBN1365" s="76"/>
      <c r="EBO1365" s="76"/>
      <c r="EBP1365" s="76"/>
      <c r="EBQ1365" s="76"/>
      <c r="EBR1365" s="76"/>
      <c r="EBS1365" s="76"/>
      <c r="EBT1365" s="76"/>
      <c r="EBU1365" s="76"/>
      <c r="EBV1365" s="76"/>
      <c r="EBW1365" s="76"/>
      <c r="EBX1365" s="76"/>
      <c r="EBY1365" s="76"/>
      <c r="EBZ1365" s="76"/>
      <c r="ECA1365" s="76"/>
      <c r="ECB1365" s="76"/>
      <c r="ECC1365" s="76"/>
      <c r="ECD1365" s="76"/>
      <c r="ECE1365" s="76"/>
      <c r="ECF1365" s="76"/>
      <c r="ECG1365" s="76"/>
      <c r="ECH1365" s="76"/>
      <c r="ECI1365" s="76"/>
      <c r="ECJ1365" s="76"/>
      <c r="ECK1365" s="76"/>
      <c r="ECL1365" s="76"/>
      <c r="ECM1365" s="76"/>
      <c r="ECN1365" s="76"/>
      <c r="ECO1365" s="76"/>
      <c r="ECP1365" s="76"/>
      <c r="ECQ1365" s="76"/>
      <c r="ECR1365" s="76"/>
      <c r="ECS1365" s="76"/>
      <c r="ECT1365" s="76"/>
      <c r="ECU1365" s="76"/>
      <c r="ECV1365" s="76"/>
      <c r="ECW1365" s="76"/>
      <c r="ECX1365" s="76"/>
      <c r="ECY1365" s="76"/>
      <c r="ECZ1365" s="76"/>
      <c r="EDA1365" s="76"/>
      <c r="EDB1365" s="76"/>
      <c r="EDC1365" s="76"/>
      <c r="EDD1365" s="76"/>
      <c r="EDE1365" s="76"/>
      <c r="EDF1365" s="76"/>
      <c r="EDG1365" s="76"/>
      <c r="EDH1365" s="76"/>
      <c r="EDI1365" s="76"/>
      <c r="EDJ1365" s="76"/>
      <c r="EDK1365" s="76"/>
      <c r="EDL1365" s="76"/>
      <c r="EDM1365" s="76"/>
      <c r="EDN1365" s="76"/>
      <c r="EDO1365" s="76"/>
      <c r="EDP1365" s="76"/>
      <c r="EDQ1365" s="76"/>
      <c r="EDR1365" s="76"/>
      <c r="EDS1365" s="76"/>
      <c r="EDT1365" s="76"/>
      <c r="EDU1365" s="76"/>
      <c r="EDV1365" s="76"/>
      <c r="EDW1365" s="76"/>
      <c r="EDX1365" s="76"/>
      <c r="EDY1365" s="76"/>
      <c r="EDZ1365" s="76"/>
      <c r="EEA1365" s="76"/>
      <c r="EEB1365" s="76"/>
      <c r="EEC1365" s="76"/>
      <c r="EED1365" s="76"/>
      <c r="EEE1365" s="76"/>
      <c r="EEF1365" s="76"/>
      <c r="EEG1365" s="76"/>
      <c r="EEH1365" s="76"/>
      <c r="EEI1365" s="76"/>
      <c r="EEJ1365" s="76"/>
      <c r="EEK1365" s="76"/>
      <c r="EEL1365" s="76"/>
      <c r="EEM1365" s="76"/>
      <c r="EEN1365" s="76"/>
      <c r="EEO1365" s="76"/>
      <c r="EEP1365" s="76"/>
      <c r="EEQ1365" s="76"/>
      <c r="EER1365" s="76"/>
      <c r="EES1365" s="76"/>
      <c r="EET1365" s="76"/>
      <c r="EEU1365" s="76"/>
      <c r="EEV1365" s="76"/>
      <c r="EEW1365" s="76"/>
      <c r="EEX1365" s="76"/>
      <c r="EEY1365" s="76"/>
      <c r="EEZ1365" s="76"/>
      <c r="EFA1365" s="76"/>
      <c r="EFB1365" s="76"/>
      <c r="EFC1365" s="76"/>
      <c r="EFD1365" s="76"/>
      <c r="EFE1365" s="76"/>
      <c r="EFF1365" s="76"/>
      <c r="EFG1365" s="76"/>
      <c r="EFH1365" s="76"/>
      <c r="EFI1365" s="76"/>
      <c r="EFJ1365" s="76"/>
      <c r="EFK1365" s="76"/>
      <c r="EFL1365" s="76"/>
      <c r="EFM1365" s="76"/>
      <c r="EFN1365" s="76"/>
      <c r="EFO1365" s="76"/>
      <c r="EFP1365" s="76"/>
      <c r="EFQ1365" s="76"/>
      <c r="EFR1365" s="76"/>
      <c r="EFS1365" s="76"/>
      <c r="EFT1365" s="76"/>
      <c r="EFU1365" s="76"/>
      <c r="EFV1365" s="76"/>
      <c r="EFW1365" s="76"/>
      <c r="EFX1365" s="76"/>
      <c r="EFY1365" s="76"/>
      <c r="EFZ1365" s="76"/>
      <c r="EGA1365" s="76"/>
      <c r="EGB1365" s="76"/>
      <c r="EGC1365" s="76"/>
      <c r="EGD1365" s="76"/>
      <c r="EGE1365" s="76"/>
      <c r="EGF1365" s="76"/>
      <c r="EGG1365" s="76"/>
      <c r="EGH1365" s="76"/>
      <c r="EGI1365" s="76"/>
      <c r="EGJ1365" s="76"/>
      <c r="EGK1365" s="76"/>
      <c r="EGL1365" s="76"/>
      <c r="EGM1365" s="76"/>
      <c r="EGN1365" s="76"/>
      <c r="EGO1365" s="76"/>
      <c r="EGP1365" s="76"/>
      <c r="EGQ1365" s="76"/>
      <c r="EGR1365" s="76"/>
      <c r="EGS1365" s="76"/>
      <c r="EGT1365" s="76"/>
      <c r="EGU1365" s="76"/>
      <c r="EGV1365" s="76"/>
      <c r="EGW1365" s="76"/>
      <c r="EGX1365" s="76"/>
      <c r="EGY1365" s="76"/>
      <c r="EGZ1365" s="76"/>
      <c r="EHA1365" s="50"/>
      <c r="EHB1365" s="76"/>
      <c r="EHC1365" s="76"/>
      <c r="EHD1365" s="76"/>
      <c r="EHE1365" s="76"/>
      <c r="EHF1365" s="76"/>
      <c r="EHG1365" s="76"/>
      <c r="EHH1365" s="76"/>
      <c r="EHI1365" s="76"/>
      <c r="EHJ1365" s="76"/>
      <c r="EHK1365" s="76"/>
      <c r="EHL1365" s="76"/>
      <c r="EHM1365" s="76"/>
      <c r="EHN1365" s="76"/>
      <c r="EHO1365" s="76"/>
      <c r="EHP1365" s="76"/>
      <c r="EHQ1365" s="76"/>
      <c r="EHR1365" s="76"/>
      <c r="EHS1365" s="76"/>
      <c r="EHT1365" s="76"/>
      <c r="EHU1365" s="76"/>
      <c r="EHV1365" s="76"/>
      <c r="EHW1365" s="76"/>
      <c r="EHX1365" s="76"/>
      <c r="EHY1365" s="76"/>
      <c r="EHZ1365" s="76"/>
      <c r="EIA1365" s="76"/>
      <c r="EIB1365" s="76"/>
      <c r="EIC1365" s="76"/>
      <c r="EID1365" s="76"/>
      <c r="EIE1365" s="76"/>
      <c r="EIF1365" s="76"/>
      <c r="EIG1365" s="76"/>
      <c r="EIH1365" s="76"/>
      <c r="EII1365" s="76"/>
      <c r="EIJ1365" s="76"/>
      <c r="EIK1365" s="76"/>
      <c r="EIL1365" s="76"/>
      <c r="EIM1365" s="76"/>
      <c r="EIN1365" s="76"/>
      <c r="EIO1365" s="76"/>
      <c r="EIP1365" s="76"/>
      <c r="EIQ1365" s="76"/>
      <c r="EIR1365" s="76"/>
      <c r="EIS1365" s="76"/>
      <c r="EIT1365" s="76"/>
      <c r="EIU1365" s="76"/>
      <c r="EIV1365" s="76"/>
      <c r="EIW1365" s="76"/>
      <c r="EIX1365" s="76"/>
      <c r="EIY1365" s="76"/>
      <c r="EIZ1365" s="76"/>
      <c r="EJA1365" s="76"/>
      <c r="EJB1365" s="76"/>
      <c r="EJC1365" s="76"/>
      <c r="EJD1365" s="76"/>
      <c r="EJE1365" s="76"/>
      <c r="EJF1365" s="76"/>
      <c r="EJG1365" s="76"/>
      <c r="EJH1365" s="76"/>
      <c r="EJI1365" s="76"/>
      <c r="EJJ1365" s="76"/>
      <c r="EJK1365" s="76"/>
      <c r="EJL1365" s="76"/>
      <c r="EJM1365" s="76"/>
      <c r="EJN1365" s="76"/>
      <c r="EJO1365" s="76"/>
      <c r="EJP1365" s="76"/>
      <c r="EJQ1365" s="76"/>
      <c r="EJR1365" s="76"/>
      <c r="EJS1365" s="76"/>
      <c r="EJT1365" s="76"/>
      <c r="EJU1365" s="76"/>
      <c r="EJV1365" s="76"/>
      <c r="EJW1365" s="76"/>
      <c r="EJX1365" s="76"/>
      <c r="EJY1365" s="76"/>
      <c r="EJZ1365" s="76"/>
      <c r="EKA1365" s="76"/>
      <c r="EKB1365" s="76"/>
      <c r="EKC1365" s="76"/>
      <c r="EKD1365" s="76"/>
      <c r="EKE1365" s="76"/>
      <c r="EKF1365" s="76"/>
      <c r="EKG1365" s="76"/>
      <c r="EKH1365" s="76"/>
      <c r="EKI1365" s="76"/>
      <c r="EKJ1365" s="76"/>
      <c r="EKK1365" s="76"/>
      <c r="EKL1365" s="76"/>
      <c r="EKM1365" s="76"/>
      <c r="EKN1365" s="76"/>
      <c r="EKO1365" s="76"/>
      <c r="EKP1365" s="76"/>
      <c r="EKQ1365" s="76"/>
      <c r="EKR1365" s="76"/>
      <c r="EKS1365" s="76"/>
      <c r="EKT1365" s="76"/>
      <c r="EKU1365" s="76"/>
      <c r="EKV1365" s="76"/>
      <c r="EKW1365" s="76"/>
      <c r="EKX1365" s="76"/>
      <c r="EKY1365" s="76"/>
      <c r="EKZ1365" s="76"/>
      <c r="ELA1365" s="76"/>
      <c r="ELB1365" s="76"/>
      <c r="ELC1365" s="76"/>
      <c r="ELD1365" s="76"/>
      <c r="ELE1365" s="76"/>
      <c r="ELF1365" s="76"/>
      <c r="ELG1365" s="76"/>
      <c r="ELH1365" s="76"/>
      <c r="ELI1365" s="76"/>
      <c r="ELJ1365" s="76"/>
      <c r="ELK1365" s="76"/>
      <c r="ELL1365" s="76"/>
      <c r="ELM1365" s="76"/>
      <c r="ELN1365" s="76"/>
      <c r="ELO1365" s="76"/>
      <c r="ELP1365" s="76"/>
      <c r="ELQ1365" s="76"/>
      <c r="ELR1365" s="76"/>
      <c r="ELS1365" s="76"/>
      <c r="ELT1365" s="76"/>
      <c r="ELU1365" s="76"/>
      <c r="ELV1365" s="76"/>
      <c r="ELW1365" s="76"/>
      <c r="ELX1365" s="76"/>
      <c r="ELY1365" s="76"/>
      <c r="ELZ1365" s="76"/>
      <c r="EMA1365" s="76"/>
      <c r="EMB1365" s="76"/>
      <c r="EMC1365" s="76"/>
      <c r="EMD1365" s="76"/>
      <c r="EME1365" s="76"/>
      <c r="EMF1365" s="76"/>
      <c r="EMG1365" s="76"/>
      <c r="EMH1365" s="76"/>
      <c r="EMI1365" s="76"/>
      <c r="EMJ1365" s="76"/>
      <c r="EMK1365" s="76"/>
      <c r="EML1365" s="76"/>
      <c r="EMM1365" s="76"/>
      <c r="EMN1365" s="76"/>
      <c r="EMO1365" s="76"/>
      <c r="EMP1365" s="76"/>
      <c r="EMQ1365" s="76"/>
      <c r="EMR1365" s="76"/>
      <c r="EMS1365" s="76"/>
      <c r="EMT1365" s="76"/>
      <c r="EMU1365" s="76"/>
      <c r="EMV1365" s="76"/>
      <c r="EMW1365" s="76"/>
      <c r="EMX1365" s="76"/>
      <c r="EMY1365" s="76"/>
      <c r="EMZ1365" s="76"/>
      <c r="ENA1365" s="76"/>
      <c r="ENB1365" s="76"/>
      <c r="ENC1365" s="76"/>
      <c r="END1365" s="76"/>
      <c r="ENE1365" s="76"/>
      <c r="ENF1365" s="76"/>
      <c r="ENG1365" s="76"/>
      <c r="ENH1365" s="76"/>
      <c r="ENI1365" s="76"/>
      <c r="ENJ1365" s="76"/>
      <c r="ENK1365" s="76"/>
      <c r="ENL1365" s="76"/>
      <c r="ENM1365" s="76"/>
      <c r="ENN1365" s="76"/>
      <c r="ENO1365" s="76"/>
      <c r="ENP1365" s="76"/>
      <c r="ENQ1365" s="76"/>
      <c r="ENR1365" s="76"/>
      <c r="ENS1365" s="76"/>
      <c r="ENT1365" s="76"/>
      <c r="ENU1365" s="76"/>
      <c r="ENV1365" s="76"/>
      <c r="ENW1365" s="76"/>
      <c r="ENX1365" s="76"/>
      <c r="ENY1365" s="76"/>
      <c r="ENZ1365" s="76"/>
      <c r="EOA1365" s="76"/>
      <c r="EOB1365" s="76"/>
      <c r="EOC1365" s="76"/>
      <c r="EOD1365" s="76"/>
      <c r="EOE1365" s="76"/>
      <c r="EOF1365" s="76"/>
      <c r="EOG1365" s="76"/>
      <c r="EOH1365" s="76"/>
      <c r="EOI1365" s="76"/>
      <c r="EOJ1365" s="76"/>
      <c r="EOK1365" s="76"/>
      <c r="EOL1365" s="76"/>
      <c r="EOM1365" s="76"/>
      <c r="EON1365" s="76"/>
      <c r="EOO1365" s="76"/>
      <c r="EOP1365" s="76"/>
      <c r="EOQ1365" s="76"/>
      <c r="EOR1365" s="76"/>
      <c r="EOS1365" s="76"/>
      <c r="EOT1365" s="76"/>
      <c r="EOU1365" s="76"/>
      <c r="EOV1365" s="76"/>
      <c r="EOW1365" s="76"/>
      <c r="EOX1365" s="76"/>
      <c r="EOY1365" s="76"/>
      <c r="EOZ1365" s="76"/>
      <c r="EPA1365" s="76"/>
      <c r="EPB1365" s="76"/>
      <c r="EPC1365" s="76"/>
      <c r="EPD1365" s="76"/>
      <c r="EPE1365" s="76"/>
      <c r="EPF1365" s="76"/>
      <c r="EPG1365" s="76"/>
      <c r="EPH1365" s="76"/>
      <c r="EPI1365" s="76"/>
      <c r="EPJ1365" s="76"/>
      <c r="EPK1365" s="76"/>
      <c r="EPL1365" s="76"/>
      <c r="EPM1365" s="76"/>
      <c r="EPN1365" s="76"/>
      <c r="EPO1365" s="76"/>
      <c r="EPP1365" s="76"/>
      <c r="EPQ1365" s="76"/>
      <c r="EPR1365" s="76"/>
      <c r="EPS1365" s="76"/>
      <c r="EPT1365" s="76"/>
      <c r="EPU1365" s="76"/>
      <c r="EPV1365" s="76"/>
      <c r="EPW1365" s="76"/>
      <c r="EPX1365" s="76"/>
      <c r="EPY1365" s="76"/>
      <c r="EPZ1365" s="76"/>
      <c r="EQA1365" s="76"/>
      <c r="EQB1365" s="76"/>
      <c r="EQC1365" s="76"/>
      <c r="EQD1365" s="76"/>
      <c r="EQE1365" s="76"/>
      <c r="EQF1365" s="76"/>
      <c r="EQG1365" s="76"/>
      <c r="EQH1365" s="76"/>
      <c r="EQI1365" s="76"/>
      <c r="EQJ1365" s="76"/>
      <c r="EQK1365" s="76"/>
      <c r="EQL1365" s="76"/>
      <c r="EQM1365" s="76"/>
      <c r="EQN1365" s="76"/>
      <c r="EQO1365" s="76"/>
      <c r="EQP1365" s="76"/>
      <c r="EQQ1365" s="76"/>
      <c r="EQR1365" s="76"/>
      <c r="EQS1365" s="76"/>
      <c r="EQT1365" s="76"/>
      <c r="EQU1365" s="76"/>
      <c r="EQV1365" s="76"/>
      <c r="EQW1365" s="50"/>
      <c r="EQX1365" s="76"/>
      <c r="EQY1365" s="76"/>
      <c r="EQZ1365" s="76"/>
      <c r="ERA1365" s="76"/>
      <c r="ERB1365" s="76"/>
      <c r="ERC1365" s="76"/>
      <c r="ERD1365" s="76"/>
      <c r="ERE1365" s="76"/>
      <c r="ERF1365" s="76"/>
      <c r="ERG1365" s="76"/>
      <c r="ERH1365" s="76"/>
      <c r="ERI1365" s="76"/>
      <c r="ERJ1365" s="76"/>
      <c r="ERK1365" s="76"/>
      <c r="ERL1365" s="76"/>
      <c r="ERM1365" s="76"/>
      <c r="ERN1365" s="76"/>
      <c r="ERO1365" s="76"/>
      <c r="ERP1365" s="76"/>
      <c r="ERQ1365" s="76"/>
      <c r="ERR1365" s="76"/>
      <c r="ERS1365" s="76"/>
      <c r="ERT1365" s="76"/>
      <c r="ERU1365" s="76"/>
      <c r="ERV1365" s="76"/>
      <c r="ERW1365" s="76"/>
      <c r="ERX1365" s="76"/>
      <c r="ERY1365" s="76"/>
      <c r="ERZ1365" s="76"/>
      <c r="ESA1365" s="76"/>
      <c r="ESB1365" s="76"/>
      <c r="ESC1365" s="76"/>
      <c r="ESD1365" s="76"/>
      <c r="ESE1365" s="76"/>
      <c r="ESF1365" s="76"/>
      <c r="ESG1365" s="76"/>
      <c r="ESH1365" s="76"/>
      <c r="ESI1365" s="76"/>
      <c r="ESJ1365" s="76"/>
      <c r="ESK1365" s="76"/>
      <c r="ESL1365" s="76"/>
      <c r="ESM1365" s="76"/>
      <c r="ESN1365" s="76"/>
      <c r="ESO1365" s="76"/>
      <c r="ESP1365" s="76"/>
      <c r="ESQ1365" s="76"/>
      <c r="ESR1365" s="76"/>
      <c r="ESS1365" s="76"/>
      <c r="EST1365" s="76"/>
      <c r="ESU1365" s="76"/>
      <c r="ESV1365" s="76"/>
      <c r="ESW1365" s="76"/>
      <c r="ESX1365" s="76"/>
      <c r="ESY1365" s="76"/>
      <c r="ESZ1365" s="76"/>
      <c r="ETA1365" s="76"/>
      <c r="ETB1365" s="76"/>
      <c r="ETC1365" s="76"/>
      <c r="ETD1365" s="76"/>
      <c r="ETE1365" s="76"/>
      <c r="ETF1365" s="76"/>
      <c r="ETG1365" s="76"/>
      <c r="ETH1365" s="76"/>
      <c r="ETI1365" s="76"/>
      <c r="ETJ1365" s="76"/>
      <c r="ETK1365" s="76"/>
      <c r="ETL1365" s="76"/>
      <c r="ETM1365" s="76"/>
      <c r="ETN1365" s="76"/>
      <c r="ETO1365" s="76"/>
      <c r="ETP1365" s="76"/>
      <c r="ETQ1365" s="76"/>
      <c r="ETR1365" s="76"/>
      <c r="ETS1365" s="76"/>
      <c r="ETT1365" s="76"/>
      <c r="ETU1365" s="76"/>
      <c r="ETV1365" s="76"/>
      <c r="ETW1365" s="76"/>
      <c r="ETX1365" s="76"/>
      <c r="ETY1365" s="76"/>
      <c r="ETZ1365" s="76"/>
      <c r="EUA1365" s="76"/>
      <c r="EUB1365" s="76"/>
      <c r="EUC1365" s="76"/>
      <c r="EUD1365" s="76"/>
      <c r="EUE1365" s="76"/>
      <c r="EUF1365" s="76"/>
      <c r="EUG1365" s="76"/>
      <c r="EUH1365" s="76"/>
      <c r="EUI1365" s="76"/>
      <c r="EUJ1365" s="76"/>
      <c r="EUK1365" s="76"/>
      <c r="EUL1365" s="76"/>
      <c r="EUM1365" s="76"/>
      <c r="EUN1365" s="76"/>
      <c r="EUO1365" s="76"/>
      <c r="EUP1365" s="76"/>
      <c r="EUQ1365" s="76"/>
      <c r="EUR1365" s="76"/>
      <c r="EUS1365" s="76"/>
      <c r="EUT1365" s="76"/>
      <c r="EUU1365" s="76"/>
      <c r="EUV1365" s="76"/>
      <c r="EUW1365" s="76"/>
      <c r="EUX1365" s="76"/>
      <c r="EUY1365" s="76"/>
      <c r="EUZ1365" s="76"/>
      <c r="EVA1365" s="76"/>
      <c r="EVB1365" s="76"/>
      <c r="EVC1365" s="76"/>
      <c r="EVD1365" s="76"/>
      <c r="EVE1365" s="76"/>
      <c r="EVF1365" s="76"/>
      <c r="EVG1365" s="76"/>
      <c r="EVH1365" s="76"/>
      <c r="EVI1365" s="76"/>
      <c r="EVJ1365" s="76"/>
      <c r="EVK1365" s="76"/>
      <c r="EVL1365" s="76"/>
      <c r="EVM1365" s="76"/>
      <c r="EVN1365" s="76"/>
      <c r="EVO1365" s="76"/>
      <c r="EVP1365" s="76"/>
      <c r="EVQ1365" s="76"/>
      <c r="EVR1365" s="76"/>
      <c r="EVS1365" s="76"/>
      <c r="EVT1365" s="76"/>
      <c r="EVU1365" s="76"/>
      <c r="EVV1365" s="76"/>
      <c r="EVW1365" s="76"/>
      <c r="EVX1365" s="76"/>
      <c r="EVY1365" s="76"/>
      <c r="EVZ1365" s="76"/>
      <c r="EWA1365" s="76"/>
      <c r="EWB1365" s="76"/>
      <c r="EWC1365" s="76"/>
      <c r="EWD1365" s="76"/>
      <c r="EWE1365" s="76"/>
      <c r="EWF1365" s="76"/>
      <c r="EWG1365" s="76"/>
      <c r="EWH1365" s="76"/>
      <c r="EWI1365" s="76"/>
      <c r="EWJ1365" s="76"/>
      <c r="EWK1365" s="76"/>
      <c r="EWL1365" s="76"/>
      <c r="EWM1365" s="76"/>
      <c r="EWN1365" s="76"/>
      <c r="EWO1365" s="76"/>
      <c r="EWP1365" s="76"/>
      <c r="EWQ1365" s="76"/>
      <c r="EWR1365" s="76"/>
      <c r="EWS1365" s="76"/>
      <c r="EWT1365" s="76"/>
      <c r="EWU1365" s="76"/>
      <c r="EWV1365" s="76"/>
      <c r="EWW1365" s="76"/>
      <c r="EWX1365" s="76"/>
      <c r="EWY1365" s="76"/>
      <c r="EWZ1365" s="76"/>
      <c r="EXA1365" s="76"/>
      <c r="EXB1365" s="76"/>
      <c r="EXC1365" s="76"/>
      <c r="EXD1365" s="76"/>
      <c r="EXE1365" s="76"/>
      <c r="EXF1365" s="76"/>
      <c r="EXG1365" s="76"/>
      <c r="EXH1365" s="76"/>
      <c r="EXI1365" s="76"/>
      <c r="EXJ1365" s="76"/>
      <c r="EXK1365" s="76"/>
      <c r="EXL1365" s="76"/>
      <c r="EXM1365" s="76"/>
      <c r="EXN1365" s="76"/>
      <c r="EXO1365" s="76"/>
      <c r="EXP1365" s="76"/>
      <c r="EXQ1365" s="76"/>
      <c r="EXR1365" s="76"/>
      <c r="EXS1365" s="76"/>
      <c r="EXT1365" s="76"/>
      <c r="EXU1365" s="76"/>
      <c r="EXV1365" s="76"/>
      <c r="EXW1365" s="76"/>
      <c r="EXX1365" s="76"/>
      <c r="EXY1365" s="76"/>
      <c r="EXZ1365" s="76"/>
      <c r="EYA1365" s="76"/>
      <c r="EYB1365" s="76"/>
      <c r="EYC1365" s="76"/>
      <c r="EYD1365" s="76"/>
      <c r="EYE1365" s="76"/>
      <c r="EYF1365" s="76"/>
      <c r="EYG1365" s="76"/>
      <c r="EYH1365" s="76"/>
      <c r="EYI1365" s="76"/>
      <c r="EYJ1365" s="76"/>
      <c r="EYK1365" s="76"/>
      <c r="EYL1365" s="76"/>
      <c r="EYM1365" s="76"/>
      <c r="EYN1365" s="76"/>
      <c r="EYO1365" s="76"/>
      <c r="EYP1365" s="76"/>
      <c r="EYQ1365" s="76"/>
      <c r="EYR1365" s="76"/>
      <c r="EYS1365" s="76"/>
      <c r="EYT1365" s="76"/>
      <c r="EYU1365" s="76"/>
      <c r="EYV1365" s="76"/>
      <c r="EYW1365" s="76"/>
      <c r="EYX1365" s="76"/>
      <c r="EYY1365" s="76"/>
      <c r="EYZ1365" s="76"/>
      <c r="EZA1365" s="76"/>
      <c r="EZB1365" s="76"/>
      <c r="EZC1365" s="76"/>
      <c r="EZD1365" s="76"/>
      <c r="EZE1365" s="76"/>
      <c r="EZF1365" s="76"/>
      <c r="EZG1365" s="76"/>
      <c r="EZH1365" s="76"/>
      <c r="EZI1365" s="76"/>
      <c r="EZJ1365" s="76"/>
      <c r="EZK1365" s="76"/>
      <c r="EZL1365" s="76"/>
      <c r="EZM1365" s="76"/>
      <c r="EZN1365" s="76"/>
      <c r="EZO1365" s="76"/>
      <c r="EZP1365" s="76"/>
      <c r="EZQ1365" s="76"/>
      <c r="EZR1365" s="76"/>
      <c r="EZS1365" s="76"/>
      <c r="EZT1365" s="76"/>
      <c r="EZU1365" s="76"/>
      <c r="EZV1365" s="76"/>
      <c r="EZW1365" s="76"/>
      <c r="EZX1365" s="76"/>
      <c r="EZY1365" s="76"/>
      <c r="EZZ1365" s="76"/>
      <c r="FAA1365" s="76"/>
      <c r="FAB1365" s="76"/>
      <c r="FAC1365" s="76"/>
      <c r="FAD1365" s="76"/>
      <c r="FAE1365" s="76"/>
      <c r="FAF1365" s="76"/>
      <c r="FAG1365" s="76"/>
      <c r="FAH1365" s="76"/>
      <c r="FAI1365" s="76"/>
      <c r="FAJ1365" s="76"/>
      <c r="FAK1365" s="76"/>
      <c r="FAL1365" s="76"/>
      <c r="FAM1365" s="76"/>
      <c r="FAN1365" s="76"/>
      <c r="FAO1365" s="76"/>
      <c r="FAP1365" s="76"/>
      <c r="FAQ1365" s="76"/>
      <c r="FAR1365" s="76"/>
      <c r="FAS1365" s="50"/>
      <c r="FAT1365" s="76"/>
      <c r="FAU1365" s="76"/>
      <c r="FAV1365" s="76"/>
      <c r="FAW1365" s="76"/>
      <c r="FAX1365" s="76"/>
      <c r="FAY1365" s="76"/>
      <c r="FAZ1365" s="76"/>
      <c r="FBA1365" s="76"/>
      <c r="FBB1365" s="76"/>
      <c r="FBC1365" s="76"/>
      <c r="FBD1365" s="76"/>
      <c r="FBE1365" s="76"/>
      <c r="FBF1365" s="76"/>
      <c r="FBG1365" s="76"/>
      <c r="FBH1365" s="76"/>
      <c r="FBI1365" s="76"/>
      <c r="FBJ1365" s="76"/>
      <c r="FBK1365" s="76"/>
      <c r="FBL1365" s="76"/>
      <c r="FBM1365" s="76"/>
      <c r="FBN1365" s="76"/>
      <c r="FBO1365" s="76"/>
      <c r="FBP1365" s="76"/>
      <c r="FBQ1365" s="76"/>
      <c r="FBR1365" s="76"/>
      <c r="FBS1365" s="76"/>
      <c r="FBT1365" s="76"/>
      <c r="FBU1365" s="76"/>
      <c r="FBV1365" s="76"/>
      <c r="FBW1365" s="76"/>
      <c r="FBX1365" s="76"/>
      <c r="FBY1365" s="76"/>
      <c r="FBZ1365" s="76"/>
      <c r="FCA1365" s="76"/>
      <c r="FCB1365" s="76"/>
      <c r="FCC1365" s="76"/>
      <c r="FCD1365" s="76"/>
      <c r="FCE1365" s="76"/>
      <c r="FCF1365" s="76"/>
      <c r="FCG1365" s="76"/>
      <c r="FCH1365" s="76"/>
      <c r="FCI1365" s="76"/>
      <c r="FCJ1365" s="76"/>
      <c r="FCK1365" s="76"/>
      <c r="FCL1365" s="76"/>
      <c r="FCM1365" s="76"/>
      <c r="FCN1365" s="76"/>
      <c r="FCO1365" s="76"/>
      <c r="FCP1365" s="76"/>
      <c r="FCQ1365" s="76"/>
      <c r="FCR1365" s="76"/>
      <c r="FCS1365" s="76"/>
      <c r="FCT1365" s="76"/>
      <c r="FCU1365" s="76"/>
      <c r="FCV1365" s="76"/>
      <c r="FCW1365" s="76"/>
      <c r="FCX1365" s="76"/>
      <c r="FCY1365" s="76"/>
      <c r="FCZ1365" s="76"/>
      <c r="FDA1365" s="76"/>
      <c r="FDB1365" s="76"/>
      <c r="FDC1365" s="76"/>
      <c r="FDD1365" s="76"/>
      <c r="FDE1365" s="76"/>
      <c r="FDF1365" s="76"/>
      <c r="FDG1365" s="76"/>
      <c r="FDH1365" s="76"/>
      <c r="FDI1365" s="76"/>
      <c r="FDJ1365" s="76"/>
      <c r="FDK1365" s="76"/>
      <c r="FDL1365" s="76"/>
      <c r="FDM1365" s="76"/>
      <c r="FDN1365" s="76"/>
      <c r="FDO1365" s="76"/>
      <c r="FDP1365" s="76"/>
      <c r="FDQ1365" s="76"/>
      <c r="FDR1365" s="76"/>
      <c r="FDS1365" s="76"/>
      <c r="FDT1365" s="76"/>
      <c r="FDU1365" s="76"/>
      <c r="FDV1365" s="76"/>
      <c r="FDW1365" s="76"/>
      <c r="FDX1365" s="76"/>
      <c r="FDY1365" s="76"/>
      <c r="FDZ1365" s="76"/>
      <c r="FEA1365" s="76"/>
      <c r="FEB1365" s="76"/>
      <c r="FEC1365" s="76"/>
      <c r="FED1365" s="76"/>
      <c r="FEE1365" s="76"/>
      <c r="FEF1365" s="76"/>
      <c r="FEG1365" s="76"/>
      <c r="FEH1365" s="76"/>
      <c r="FEI1365" s="76"/>
      <c r="FEJ1365" s="76"/>
      <c r="FEK1365" s="76"/>
      <c r="FEL1365" s="76"/>
      <c r="FEM1365" s="76"/>
      <c r="FEN1365" s="76"/>
      <c r="FEO1365" s="76"/>
      <c r="FEP1365" s="76"/>
      <c r="FEQ1365" s="76"/>
      <c r="FER1365" s="76"/>
      <c r="FES1365" s="76"/>
      <c r="FET1365" s="76"/>
      <c r="FEU1365" s="76"/>
      <c r="FEV1365" s="76"/>
      <c r="FEW1365" s="76"/>
      <c r="FEX1365" s="76"/>
      <c r="FEY1365" s="76"/>
      <c r="FEZ1365" s="76"/>
      <c r="FFA1365" s="76"/>
      <c r="FFB1365" s="76"/>
      <c r="FFC1365" s="76"/>
      <c r="FFD1365" s="76"/>
      <c r="FFE1365" s="76"/>
      <c r="FFF1365" s="76"/>
      <c r="FFG1365" s="76"/>
      <c r="FFH1365" s="76"/>
      <c r="FFI1365" s="76"/>
      <c r="FFJ1365" s="76"/>
      <c r="FFK1365" s="76"/>
      <c r="FFL1365" s="76"/>
      <c r="FFM1365" s="76"/>
      <c r="FFN1365" s="76"/>
      <c r="FFO1365" s="76"/>
      <c r="FFP1365" s="76"/>
      <c r="FFQ1365" s="76"/>
      <c r="FFR1365" s="76"/>
      <c r="FFS1365" s="76"/>
      <c r="FFT1365" s="76"/>
      <c r="FFU1365" s="76"/>
      <c r="FFV1365" s="76"/>
      <c r="FFW1365" s="76"/>
      <c r="FFX1365" s="76"/>
      <c r="FFY1365" s="76"/>
      <c r="FFZ1365" s="76"/>
      <c r="FGA1365" s="76"/>
      <c r="FGB1365" s="76"/>
      <c r="FGC1365" s="76"/>
      <c r="FGD1365" s="76"/>
      <c r="FGE1365" s="76"/>
      <c r="FGF1365" s="76"/>
      <c r="FGG1365" s="76"/>
      <c r="FGH1365" s="76"/>
      <c r="FGI1365" s="76"/>
      <c r="FGJ1365" s="76"/>
      <c r="FGK1365" s="76"/>
      <c r="FGL1365" s="76"/>
      <c r="FGM1365" s="76"/>
      <c r="FGN1365" s="76"/>
      <c r="FGO1365" s="76"/>
      <c r="FGP1365" s="76"/>
      <c r="FGQ1365" s="76"/>
      <c r="FGR1365" s="76"/>
      <c r="FGS1365" s="76"/>
      <c r="FGT1365" s="76"/>
      <c r="FGU1365" s="76"/>
      <c r="FGV1365" s="76"/>
      <c r="FGW1365" s="76"/>
      <c r="FGX1365" s="76"/>
      <c r="FGY1365" s="76"/>
      <c r="FGZ1365" s="76"/>
      <c r="FHA1365" s="76"/>
      <c r="FHB1365" s="76"/>
      <c r="FHC1365" s="76"/>
      <c r="FHD1365" s="76"/>
      <c r="FHE1365" s="76"/>
      <c r="FHF1365" s="76"/>
      <c r="FHG1365" s="76"/>
      <c r="FHH1365" s="76"/>
      <c r="FHI1365" s="76"/>
      <c r="FHJ1365" s="76"/>
      <c r="FHK1365" s="76"/>
      <c r="FHL1365" s="76"/>
      <c r="FHM1365" s="76"/>
      <c r="FHN1365" s="76"/>
      <c r="FHO1365" s="76"/>
      <c r="FHP1365" s="76"/>
      <c r="FHQ1365" s="76"/>
      <c r="FHR1365" s="76"/>
      <c r="FHS1365" s="76"/>
      <c r="FHT1365" s="76"/>
      <c r="FHU1365" s="76"/>
      <c r="FHV1365" s="76"/>
      <c r="FHW1365" s="76"/>
      <c r="FHX1365" s="76"/>
      <c r="FHY1365" s="76"/>
      <c r="FHZ1365" s="76"/>
      <c r="FIA1365" s="76"/>
      <c r="FIB1365" s="76"/>
      <c r="FIC1365" s="76"/>
      <c r="FID1365" s="76"/>
      <c r="FIE1365" s="76"/>
      <c r="FIF1365" s="76"/>
      <c r="FIG1365" s="76"/>
      <c r="FIH1365" s="76"/>
      <c r="FII1365" s="76"/>
      <c r="FIJ1365" s="76"/>
      <c r="FIK1365" s="76"/>
      <c r="FIL1365" s="76"/>
      <c r="FIM1365" s="76"/>
      <c r="FIN1365" s="76"/>
      <c r="FIO1365" s="76"/>
      <c r="FIP1365" s="76"/>
      <c r="FIQ1365" s="76"/>
      <c r="FIR1365" s="76"/>
      <c r="FIS1365" s="76"/>
      <c r="FIT1365" s="76"/>
      <c r="FIU1365" s="76"/>
      <c r="FIV1365" s="76"/>
      <c r="FIW1365" s="76"/>
      <c r="FIX1365" s="76"/>
      <c r="FIY1365" s="76"/>
      <c r="FIZ1365" s="76"/>
      <c r="FJA1365" s="76"/>
      <c r="FJB1365" s="76"/>
      <c r="FJC1365" s="76"/>
      <c r="FJD1365" s="76"/>
      <c r="FJE1365" s="76"/>
      <c r="FJF1365" s="76"/>
      <c r="FJG1365" s="76"/>
      <c r="FJH1365" s="76"/>
      <c r="FJI1365" s="76"/>
      <c r="FJJ1365" s="76"/>
      <c r="FJK1365" s="76"/>
      <c r="FJL1365" s="76"/>
      <c r="FJM1365" s="76"/>
      <c r="FJN1365" s="76"/>
      <c r="FJO1365" s="76"/>
      <c r="FJP1365" s="76"/>
      <c r="FJQ1365" s="76"/>
      <c r="FJR1365" s="76"/>
      <c r="FJS1365" s="76"/>
      <c r="FJT1365" s="76"/>
      <c r="FJU1365" s="76"/>
      <c r="FJV1365" s="76"/>
      <c r="FJW1365" s="76"/>
      <c r="FJX1365" s="76"/>
      <c r="FJY1365" s="76"/>
      <c r="FJZ1365" s="76"/>
      <c r="FKA1365" s="76"/>
      <c r="FKB1365" s="76"/>
      <c r="FKC1365" s="76"/>
      <c r="FKD1365" s="76"/>
      <c r="FKE1365" s="76"/>
      <c r="FKF1365" s="76"/>
      <c r="FKG1365" s="76"/>
      <c r="FKH1365" s="76"/>
      <c r="FKI1365" s="76"/>
      <c r="FKJ1365" s="76"/>
      <c r="FKK1365" s="76"/>
      <c r="FKL1365" s="76"/>
      <c r="FKM1365" s="76"/>
      <c r="FKN1365" s="76"/>
      <c r="FKO1365" s="50"/>
      <c r="FKP1365" s="76"/>
      <c r="FKQ1365" s="76"/>
      <c r="FKR1365" s="76"/>
      <c r="FKS1365" s="76"/>
      <c r="FKT1365" s="76"/>
      <c r="FKU1365" s="76"/>
      <c r="FKV1365" s="76"/>
      <c r="FKW1365" s="76"/>
      <c r="FKX1365" s="76"/>
      <c r="FKY1365" s="76"/>
      <c r="FKZ1365" s="76"/>
      <c r="FLA1365" s="76"/>
      <c r="FLB1365" s="76"/>
      <c r="FLC1365" s="76"/>
      <c r="FLD1365" s="76"/>
      <c r="FLE1365" s="76"/>
      <c r="FLF1365" s="76"/>
      <c r="FLG1365" s="76"/>
      <c r="FLH1365" s="76"/>
      <c r="FLI1365" s="76"/>
      <c r="FLJ1365" s="76"/>
      <c r="FLK1365" s="76"/>
      <c r="FLL1365" s="76"/>
      <c r="FLM1365" s="76"/>
      <c r="FLN1365" s="76"/>
      <c r="FLO1365" s="76"/>
      <c r="FLP1365" s="76"/>
      <c r="FLQ1365" s="76"/>
      <c r="FLR1365" s="76"/>
      <c r="FLS1365" s="76"/>
      <c r="FLT1365" s="76"/>
      <c r="FLU1365" s="76"/>
      <c r="FLV1365" s="76"/>
      <c r="FLW1365" s="76"/>
      <c r="FLX1365" s="76"/>
      <c r="FLY1365" s="76"/>
      <c r="FLZ1365" s="76"/>
      <c r="FMA1365" s="76"/>
      <c r="FMB1365" s="76"/>
      <c r="FMC1365" s="76"/>
      <c r="FMD1365" s="76"/>
      <c r="FME1365" s="76"/>
      <c r="FMF1365" s="76"/>
      <c r="FMG1365" s="76"/>
      <c r="FMH1365" s="76"/>
      <c r="FMI1365" s="76"/>
      <c r="FMJ1365" s="76"/>
      <c r="FMK1365" s="76"/>
      <c r="FML1365" s="76"/>
      <c r="FMM1365" s="76"/>
      <c r="FMN1365" s="76"/>
      <c r="FMO1365" s="76"/>
      <c r="FMP1365" s="76"/>
      <c r="FMQ1365" s="76"/>
      <c r="FMR1365" s="76"/>
      <c r="FMS1365" s="76"/>
      <c r="FMT1365" s="76"/>
      <c r="FMU1365" s="76"/>
      <c r="FMV1365" s="76"/>
      <c r="FMW1365" s="76"/>
      <c r="FMX1365" s="76"/>
      <c r="FMY1365" s="76"/>
      <c r="FMZ1365" s="76"/>
      <c r="FNA1365" s="76"/>
      <c r="FNB1365" s="76"/>
      <c r="FNC1365" s="76"/>
      <c r="FND1365" s="76"/>
      <c r="FNE1365" s="76"/>
      <c r="FNF1365" s="76"/>
      <c r="FNG1365" s="76"/>
      <c r="FNH1365" s="76"/>
      <c r="FNI1365" s="76"/>
      <c r="FNJ1365" s="76"/>
      <c r="FNK1365" s="76"/>
      <c r="FNL1365" s="76"/>
      <c r="FNM1365" s="76"/>
      <c r="FNN1365" s="76"/>
      <c r="FNO1365" s="76"/>
      <c r="FNP1365" s="76"/>
      <c r="FNQ1365" s="76"/>
      <c r="FNR1365" s="76"/>
      <c r="FNS1365" s="76"/>
      <c r="FNT1365" s="76"/>
      <c r="FNU1365" s="76"/>
      <c r="FNV1365" s="76"/>
      <c r="FNW1365" s="76"/>
      <c r="FNX1365" s="76"/>
      <c r="FNY1365" s="76"/>
      <c r="FNZ1365" s="76"/>
      <c r="FOA1365" s="76"/>
      <c r="FOB1365" s="76"/>
      <c r="FOC1365" s="76"/>
      <c r="FOD1365" s="76"/>
      <c r="FOE1365" s="76"/>
      <c r="FOF1365" s="76"/>
      <c r="FOG1365" s="76"/>
      <c r="FOH1365" s="76"/>
      <c r="FOI1365" s="76"/>
      <c r="FOJ1365" s="76"/>
      <c r="FOK1365" s="76"/>
      <c r="FOL1365" s="76"/>
      <c r="FOM1365" s="76"/>
      <c r="FON1365" s="76"/>
      <c r="FOO1365" s="76"/>
      <c r="FOP1365" s="76"/>
      <c r="FOQ1365" s="76"/>
      <c r="FOR1365" s="76"/>
      <c r="FOS1365" s="76"/>
      <c r="FOT1365" s="76"/>
      <c r="FOU1365" s="76"/>
      <c r="FOV1365" s="76"/>
      <c r="FOW1365" s="76"/>
      <c r="FOX1365" s="76"/>
      <c r="FOY1365" s="76"/>
      <c r="FOZ1365" s="76"/>
      <c r="FPA1365" s="76"/>
      <c r="FPB1365" s="76"/>
      <c r="FPC1365" s="76"/>
      <c r="FPD1365" s="76"/>
      <c r="FPE1365" s="76"/>
      <c r="FPF1365" s="76"/>
      <c r="FPG1365" s="76"/>
      <c r="FPH1365" s="76"/>
      <c r="FPI1365" s="76"/>
      <c r="FPJ1365" s="76"/>
      <c r="FPK1365" s="76"/>
      <c r="FPL1365" s="76"/>
      <c r="FPM1365" s="76"/>
      <c r="FPN1365" s="76"/>
      <c r="FPO1365" s="76"/>
      <c r="FPP1365" s="76"/>
      <c r="FPQ1365" s="76"/>
      <c r="FPR1365" s="76"/>
      <c r="FPS1365" s="76"/>
      <c r="FPT1365" s="76"/>
      <c r="FPU1365" s="76"/>
      <c r="FPV1365" s="76"/>
      <c r="FPW1365" s="76"/>
      <c r="FPX1365" s="76"/>
      <c r="FPY1365" s="76"/>
      <c r="FPZ1365" s="76"/>
      <c r="FQA1365" s="76"/>
      <c r="FQB1365" s="76"/>
      <c r="FQC1365" s="76"/>
      <c r="FQD1365" s="76"/>
      <c r="FQE1365" s="76"/>
      <c r="FQF1365" s="76"/>
      <c r="FQG1365" s="76"/>
      <c r="FQH1365" s="76"/>
      <c r="FQI1365" s="76"/>
      <c r="FQJ1365" s="76"/>
      <c r="FQK1365" s="76"/>
      <c r="FQL1365" s="76"/>
      <c r="FQM1365" s="76"/>
      <c r="FQN1365" s="76"/>
      <c r="FQO1365" s="76"/>
      <c r="FQP1365" s="76"/>
      <c r="FQQ1365" s="76"/>
      <c r="FQR1365" s="76"/>
      <c r="FQS1365" s="76"/>
      <c r="FQT1365" s="76"/>
      <c r="FQU1365" s="76"/>
      <c r="FQV1365" s="76"/>
      <c r="FQW1365" s="76"/>
      <c r="FQX1365" s="76"/>
      <c r="FQY1365" s="76"/>
      <c r="FQZ1365" s="76"/>
      <c r="FRA1365" s="76"/>
      <c r="FRB1365" s="76"/>
      <c r="FRC1365" s="76"/>
      <c r="FRD1365" s="76"/>
      <c r="FRE1365" s="76"/>
      <c r="FRF1365" s="76"/>
      <c r="FRG1365" s="76"/>
      <c r="FRH1365" s="76"/>
      <c r="FRI1365" s="76"/>
      <c r="FRJ1365" s="76"/>
      <c r="FRK1365" s="76"/>
      <c r="FRL1365" s="76"/>
      <c r="FRM1365" s="76"/>
      <c r="FRN1365" s="76"/>
      <c r="FRO1365" s="76"/>
      <c r="FRP1365" s="76"/>
      <c r="FRQ1365" s="76"/>
      <c r="FRR1365" s="76"/>
      <c r="FRS1365" s="76"/>
      <c r="FRT1365" s="76"/>
      <c r="FRU1365" s="76"/>
      <c r="FRV1365" s="76"/>
      <c r="FRW1365" s="76"/>
      <c r="FRX1365" s="76"/>
      <c r="FRY1365" s="76"/>
      <c r="FRZ1365" s="76"/>
      <c r="FSA1365" s="76"/>
      <c r="FSB1365" s="76"/>
      <c r="FSC1365" s="76"/>
      <c r="FSD1365" s="76"/>
      <c r="FSE1365" s="76"/>
      <c r="FSF1365" s="76"/>
      <c r="FSG1365" s="76"/>
      <c r="FSH1365" s="76"/>
      <c r="FSI1365" s="76"/>
      <c r="FSJ1365" s="76"/>
      <c r="FSK1365" s="76"/>
      <c r="FSL1365" s="76"/>
      <c r="FSM1365" s="76"/>
      <c r="FSN1365" s="76"/>
      <c r="FSO1365" s="76"/>
      <c r="FSP1365" s="76"/>
      <c r="FSQ1365" s="76"/>
      <c r="FSR1365" s="76"/>
      <c r="FSS1365" s="76"/>
      <c r="FST1365" s="76"/>
      <c r="FSU1365" s="76"/>
      <c r="FSV1365" s="76"/>
      <c r="FSW1365" s="76"/>
      <c r="FSX1365" s="76"/>
      <c r="FSY1365" s="76"/>
      <c r="FSZ1365" s="76"/>
      <c r="FTA1365" s="76"/>
      <c r="FTB1365" s="76"/>
      <c r="FTC1365" s="76"/>
      <c r="FTD1365" s="76"/>
      <c r="FTE1365" s="76"/>
      <c r="FTF1365" s="76"/>
      <c r="FTG1365" s="76"/>
      <c r="FTH1365" s="76"/>
      <c r="FTI1365" s="76"/>
      <c r="FTJ1365" s="76"/>
      <c r="FTK1365" s="76"/>
      <c r="FTL1365" s="76"/>
      <c r="FTM1365" s="76"/>
      <c r="FTN1365" s="76"/>
      <c r="FTO1365" s="76"/>
      <c r="FTP1365" s="76"/>
      <c r="FTQ1365" s="76"/>
      <c r="FTR1365" s="76"/>
      <c r="FTS1365" s="76"/>
      <c r="FTT1365" s="76"/>
      <c r="FTU1365" s="76"/>
      <c r="FTV1365" s="76"/>
      <c r="FTW1365" s="76"/>
      <c r="FTX1365" s="76"/>
      <c r="FTY1365" s="76"/>
      <c r="FTZ1365" s="76"/>
      <c r="FUA1365" s="76"/>
      <c r="FUB1365" s="76"/>
      <c r="FUC1365" s="76"/>
      <c r="FUD1365" s="76"/>
      <c r="FUE1365" s="76"/>
      <c r="FUF1365" s="76"/>
      <c r="FUG1365" s="76"/>
      <c r="FUH1365" s="76"/>
      <c r="FUI1365" s="76"/>
      <c r="FUJ1365" s="76"/>
      <c r="FUK1365" s="50"/>
      <c r="FUL1365" s="76"/>
      <c r="FUM1365" s="76"/>
      <c r="FUN1365" s="76"/>
      <c r="FUO1365" s="76"/>
      <c r="FUP1365" s="76"/>
      <c r="FUQ1365" s="76"/>
      <c r="FUR1365" s="76"/>
      <c r="FUS1365" s="76"/>
      <c r="FUT1365" s="76"/>
      <c r="FUU1365" s="76"/>
      <c r="FUV1365" s="76"/>
      <c r="FUW1365" s="76"/>
      <c r="FUX1365" s="76"/>
      <c r="FUY1365" s="76"/>
      <c r="FUZ1365" s="76"/>
      <c r="FVA1365" s="76"/>
      <c r="FVB1365" s="76"/>
      <c r="FVC1365" s="76"/>
      <c r="FVD1365" s="76"/>
      <c r="FVE1365" s="76"/>
      <c r="FVF1365" s="76"/>
      <c r="FVG1365" s="76"/>
      <c r="FVH1365" s="76"/>
      <c r="FVI1365" s="76"/>
      <c r="FVJ1365" s="76"/>
      <c r="FVK1365" s="76"/>
      <c r="FVL1365" s="76"/>
      <c r="FVM1365" s="76"/>
      <c r="FVN1365" s="76"/>
      <c r="FVO1365" s="76"/>
      <c r="FVP1365" s="76"/>
      <c r="FVQ1365" s="76"/>
      <c r="FVR1365" s="76"/>
      <c r="FVS1365" s="76"/>
      <c r="FVT1365" s="76"/>
      <c r="FVU1365" s="76"/>
      <c r="FVV1365" s="76"/>
      <c r="FVW1365" s="76"/>
      <c r="FVX1365" s="76"/>
      <c r="FVY1365" s="76"/>
      <c r="FVZ1365" s="76"/>
      <c r="FWA1365" s="76"/>
      <c r="FWB1365" s="76"/>
      <c r="FWC1365" s="76"/>
      <c r="FWD1365" s="76"/>
      <c r="FWE1365" s="76"/>
      <c r="FWF1365" s="76"/>
      <c r="FWG1365" s="76"/>
      <c r="FWH1365" s="76"/>
      <c r="FWI1365" s="76"/>
      <c r="FWJ1365" s="76"/>
      <c r="FWK1365" s="76"/>
      <c r="FWL1365" s="76"/>
      <c r="FWM1365" s="76"/>
      <c r="FWN1365" s="76"/>
      <c r="FWO1365" s="76"/>
      <c r="FWP1365" s="76"/>
      <c r="FWQ1365" s="76"/>
      <c r="FWR1365" s="76"/>
      <c r="FWS1365" s="76"/>
      <c r="FWT1365" s="76"/>
      <c r="FWU1365" s="76"/>
      <c r="FWV1365" s="76"/>
      <c r="FWW1365" s="76"/>
      <c r="FWX1365" s="76"/>
      <c r="FWY1365" s="76"/>
      <c r="FWZ1365" s="76"/>
      <c r="FXA1365" s="76"/>
      <c r="FXB1365" s="76"/>
      <c r="FXC1365" s="76"/>
      <c r="FXD1365" s="76"/>
      <c r="FXE1365" s="76"/>
      <c r="FXF1365" s="76"/>
      <c r="FXG1365" s="76"/>
      <c r="FXH1365" s="76"/>
      <c r="FXI1365" s="76"/>
      <c r="FXJ1365" s="76"/>
      <c r="FXK1365" s="76"/>
      <c r="FXL1365" s="76"/>
      <c r="FXM1365" s="76"/>
      <c r="FXN1365" s="76"/>
      <c r="FXO1365" s="76"/>
      <c r="FXP1365" s="76"/>
      <c r="FXQ1365" s="76"/>
      <c r="FXR1365" s="76"/>
      <c r="FXS1365" s="76"/>
      <c r="FXT1365" s="76"/>
      <c r="FXU1365" s="76"/>
      <c r="FXV1365" s="76"/>
      <c r="FXW1365" s="76"/>
      <c r="FXX1365" s="76"/>
      <c r="FXY1365" s="76"/>
      <c r="FXZ1365" s="76"/>
      <c r="FYA1365" s="76"/>
      <c r="FYB1365" s="76"/>
      <c r="FYC1365" s="76"/>
      <c r="FYD1365" s="76"/>
      <c r="FYE1365" s="76"/>
      <c r="FYF1365" s="76"/>
      <c r="FYG1365" s="76"/>
      <c r="FYH1365" s="76"/>
      <c r="FYI1365" s="76"/>
      <c r="FYJ1365" s="76"/>
      <c r="FYK1365" s="76"/>
      <c r="FYL1365" s="76"/>
      <c r="FYM1365" s="76"/>
      <c r="FYN1365" s="76"/>
      <c r="FYO1365" s="76"/>
      <c r="FYP1365" s="76"/>
      <c r="FYQ1365" s="76"/>
      <c r="FYR1365" s="76"/>
      <c r="FYS1365" s="76"/>
      <c r="FYT1365" s="76"/>
      <c r="FYU1365" s="76"/>
      <c r="FYV1365" s="76"/>
      <c r="FYW1365" s="76"/>
      <c r="FYX1365" s="76"/>
      <c r="FYY1365" s="76"/>
      <c r="FYZ1365" s="76"/>
      <c r="FZA1365" s="76"/>
      <c r="FZB1365" s="76"/>
      <c r="FZC1365" s="76"/>
      <c r="FZD1365" s="76"/>
      <c r="FZE1365" s="76"/>
      <c r="FZF1365" s="76"/>
      <c r="FZG1365" s="76"/>
      <c r="FZH1365" s="76"/>
      <c r="FZI1365" s="76"/>
      <c r="FZJ1365" s="76"/>
      <c r="FZK1365" s="76"/>
      <c r="FZL1365" s="76"/>
      <c r="FZM1365" s="76"/>
      <c r="FZN1365" s="76"/>
      <c r="FZO1365" s="76"/>
      <c r="FZP1365" s="76"/>
      <c r="FZQ1365" s="76"/>
      <c r="FZR1365" s="76"/>
      <c r="FZS1365" s="76"/>
      <c r="FZT1365" s="76"/>
      <c r="FZU1365" s="76"/>
      <c r="FZV1365" s="76"/>
      <c r="FZW1365" s="76"/>
      <c r="FZX1365" s="76"/>
      <c r="FZY1365" s="76"/>
      <c r="FZZ1365" s="76"/>
      <c r="GAA1365" s="76"/>
      <c r="GAB1365" s="76"/>
      <c r="GAC1365" s="76"/>
      <c r="GAD1365" s="76"/>
      <c r="GAE1365" s="76"/>
      <c r="GAF1365" s="76"/>
      <c r="GAG1365" s="76"/>
      <c r="GAH1365" s="76"/>
      <c r="GAI1365" s="76"/>
      <c r="GAJ1365" s="76"/>
      <c r="GAK1365" s="76"/>
      <c r="GAL1365" s="76"/>
      <c r="GAM1365" s="76"/>
      <c r="GAN1365" s="76"/>
      <c r="GAO1365" s="76"/>
      <c r="GAP1365" s="76"/>
      <c r="GAQ1365" s="76"/>
      <c r="GAR1365" s="76"/>
      <c r="GAS1365" s="76"/>
      <c r="GAT1365" s="76"/>
      <c r="GAU1365" s="76"/>
      <c r="GAV1365" s="76"/>
      <c r="GAW1365" s="76"/>
      <c r="GAX1365" s="76"/>
      <c r="GAY1365" s="76"/>
      <c r="GAZ1365" s="76"/>
      <c r="GBA1365" s="76"/>
      <c r="GBB1365" s="76"/>
      <c r="GBC1365" s="76"/>
      <c r="GBD1365" s="76"/>
      <c r="GBE1365" s="76"/>
      <c r="GBF1365" s="76"/>
      <c r="GBG1365" s="76"/>
      <c r="GBH1365" s="76"/>
      <c r="GBI1365" s="76"/>
      <c r="GBJ1365" s="76"/>
      <c r="GBK1365" s="76"/>
      <c r="GBL1365" s="76"/>
      <c r="GBM1365" s="76"/>
      <c r="GBN1365" s="76"/>
      <c r="GBO1365" s="76"/>
      <c r="GBP1365" s="76"/>
      <c r="GBQ1365" s="76"/>
      <c r="GBR1365" s="76"/>
      <c r="GBS1365" s="76"/>
      <c r="GBT1365" s="76"/>
      <c r="GBU1365" s="76"/>
      <c r="GBV1365" s="76"/>
      <c r="GBW1365" s="76"/>
      <c r="GBX1365" s="76"/>
      <c r="GBY1365" s="76"/>
      <c r="GBZ1365" s="76"/>
      <c r="GCA1365" s="76"/>
      <c r="GCB1365" s="76"/>
      <c r="GCC1365" s="76"/>
      <c r="GCD1365" s="76"/>
      <c r="GCE1365" s="76"/>
      <c r="GCF1365" s="76"/>
      <c r="GCG1365" s="76"/>
      <c r="GCH1365" s="76"/>
      <c r="GCI1365" s="76"/>
      <c r="GCJ1365" s="76"/>
      <c r="GCK1365" s="76"/>
      <c r="GCL1365" s="76"/>
      <c r="GCM1365" s="76"/>
      <c r="GCN1365" s="76"/>
      <c r="GCO1365" s="76"/>
      <c r="GCP1365" s="76"/>
      <c r="GCQ1365" s="76"/>
      <c r="GCR1365" s="76"/>
      <c r="GCS1365" s="76"/>
      <c r="GCT1365" s="76"/>
      <c r="GCU1365" s="76"/>
      <c r="GCV1365" s="76"/>
      <c r="GCW1365" s="76"/>
      <c r="GCX1365" s="76"/>
      <c r="GCY1365" s="76"/>
      <c r="GCZ1365" s="76"/>
      <c r="GDA1365" s="76"/>
      <c r="GDB1365" s="76"/>
      <c r="GDC1365" s="76"/>
      <c r="GDD1365" s="76"/>
      <c r="GDE1365" s="76"/>
      <c r="GDF1365" s="76"/>
      <c r="GDG1365" s="76"/>
      <c r="GDH1365" s="76"/>
      <c r="GDI1365" s="76"/>
      <c r="GDJ1365" s="76"/>
      <c r="GDK1365" s="76"/>
      <c r="GDL1365" s="76"/>
      <c r="GDM1365" s="76"/>
      <c r="GDN1365" s="76"/>
      <c r="GDO1365" s="76"/>
      <c r="GDP1365" s="76"/>
      <c r="GDQ1365" s="76"/>
      <c r="GDR1365" s="76"/>
      <c r="GDS1365" s="76"/>
      <c r="GDT1365" s="76"/>
      <c r="GDU1365" s="76"/>
      <c r="GDV1365" s="76"/>
      <c r="GDW1365" s="76"/>
      <c r="GDX1365" s="76"/>
      <c r="GDY1365" s="76"/>
      <c r="GDZ1365" s="76"/>
      <c r="GEA1365" s="76"/>
      <c r="GEB1365" s="76"/>
      <c r="GEC1365" s="76"/>
      <c r="GED1365" s="76"/>
      <c r="GEE1365" s="76"/>
      <c r="GEF1365" s="76"/>
      <c r="GEG1365" s="50"/>
      <c r="GEH1365" s="76"/>
      <c r="GEI1365" s="76"/>
      <c r="GEJ1365" s="76"/>
      <c r="GEK1365" s="76"/>
      <c r="GEL1365" s="76"/>
      <c r="GEM1365" s="76"/>
      <c r="GEN1365" s="76"/>
      <c r="GEO1365" s="76"/>
      <c r="GEP1365" s="76"/>
      <c r="GEQ1365" s="76"/>
      <c r="GER1365" s="76"/>
      <c r="GES1365" s="76"/>
      <c r="GET1365" s="76"/>
      <c r="GEU1365" s="76"/>
      <c r="GEV1365" s="76"/>
      <c r="GEW1365" s="76"/>
      <c r="GEX1365" s="76"/>
      <c r="GEY1365" s="76"/>
      <c r="GEZ1365" s="76"/>
      <c r="GFA1365" s="76"/>
      <c r="GFB1365" s="76"/>
      <c r="GFC1365" s="76"/>
      <c r="GFD1365" s="76"/>
      <c r="GFE1365" s="76"/>
      <c r="GFF1365" s="76"/>
      <c r="GFG1365" s="76"/>
      <c r="GFH1365" s="76"/>
      <c r="GFI1365" s="76"/>
      <c r="GFJ1365" s="76"/>
      <c r="GFK1365" s="76"/>
      <c r="GFL1365" s="76"/>
      <c r="GFM1365" s="76"/>
      <c r="GFN1365" s="76"/>
      <c r="GFO1365" s="76"/>
      <c r="GFP1365" s="76"/>
      <c r="GFQ1365" s="76"/>
      <c r="GFR1365" s="76"/>
      <c r="GFS1365" s="76"/>
      <c r="GFT1365" s="76"/>
      <c r="GFU1365" s="76"/>
      <c r="GFV1365" s="76"/>
      <c r="GFW1365" s="76"/>
      <c r="GFX1365" s="76"/>
      <c r="GFY1365" s="76"/>
      <c r="GFZ1365" s="76"/>
      <c r="GGA1365" s="76"/>
      <c r="GGB1365" s="76"/>
      <c r="GGC1365" s="76"/>
      <c r="GGD1365" s="76"/>
      <c r="GGE1365" s="76"/>
      <c r="GGF1365" s="76"/>
      <c r="GGG1365" s="76"/>
      <c r="GGH1365" s="76"/>
      <c r="GGI1365" s="76"/>
      <c r="GGJ1365" s="76"/>
      <c r="GGK1365" s="76"/>
      <c r="GGL1365" s="76"/>
      <c r="GGM1365" s="76"/>
      <c r="GGN1365" s="76"/>
      <c r="GGO1365" s="76"/>
      <c r="GGP1365" s="76"/>
      <c r="GGQ1365" s="76"/>
      <c r="GGR1365" s="76"/>
      <c r="GGS1365" s="76"/>
      <c r="GGT1365" s="76"/>
      <c r="GGU1365" s="76"/>
      <c r="GGV1365" s="76"/>
      <c r="GGW1365" s="76"/>
      <c r="GGX1365" s="76"/>
      <c r="GGY1365" s="76"/>
      <c r="GGZ1365" s="76"/>
      <c r="GHA1365" s="76"/>
      <c r="GHB1365" s="76"/>
      <c r="GHC1365" s="76"/>
      <c r="GHD1365" s="76"/>
      <c r="GHE1365" s="76"/>
      <c r="GHF1365" s="76"/>
      <c r="GHG1365" s="76"/>
      <c r="GHH1365" s="76"/>
      <c r="GHI1365" s="76"/>
      <c r="GHJ1365" s="76"/>
      <c r="GHK1365" s="76"/>
      <c r="GHL1365" s="76"/>
      <c r="GHM1365" s="76"/>
      <c r="GHN1365" s="76"/>
      <c r="GHO1365" s="76"/>
      <c r="GHP1365" s="76"/>
      <c r="GHQ1365" s="76"/>
      <c r="GHR1365" s="76"/>
      <c r="GHS1365" s="76"/>
      <c r="GHT1365" s="76"/>
      <c r="GHU1365" s="76"/>
      <c r="GHV1365" s="76"/>
      <c r="GHW1365" s="76"/>
      <c r="GHX1365" s="76"/>
      <c r="GHY1365" s="76"/>
      <c r="GHZ1365" s="76"/>
      <c r="GIA1365" s="76"/>
      <c r="GIB1365" s="76"/>
      <c r="GIC1365" s="76"/>
      <c r="GID1365" s="76"/>
      <c r="GIE1365" s="76"/>
      <c r="GIF1365" s="76"/>
      <c r="GIG1365" s="76"/>
      <c r="GIH1365" s="76"/>
      <c r="GII1365" s="76"/>
      <c r="GIJ1365" s="76"/>
      <c r="GIK1365" s="76"/>
      <c r="GIL1365" s="76"/>
      <c r="GIM1365" s="76"/>
      <c r="GIN1365" s="76"/>
      <c r="GIO1365" s="76"/>
      <c r="GIP1365" s="76"/>
      <c r="GIQ1365" s="76"/>
      <c r="GIR1365" s="76"/>
      <c r="GIS1365" s="76"/>
      <c r="GIT1365" s="76"/>
      <c r="GIU1365" s="76"/>
      <c r="GIV1365" s="76"/>
      <c r="GIW1365" s="76"/>
      <c r="GIX1365" s="76"/>
      <c r="GIY1365" s="76"/>
      <c r="GIZ1365" s="76"/>
      <c r="GJA1365" s="76"/>
      <c r="GJB1365" s="76"/>
      <c r="GJC1365" s="76"/>
      <c r="GJD1365" s="76"/>
      <c r="GJE1365" s="76"/>
      <c r="GJF1365" s="76"/>
      <c r="GJG1365" s="76"/>
      <c r="GJH1365" s="76"/>
      <c r="GJI1365" s="76"/>
      <c r="GJJ1365" s="76"/>
      <c r="GJK1365" s="76"/>
      <c r="GJL1365" s="76"/>
      <c r="GJM1365" s="76"/>
      <c r="GJN1365" s="76"/>
      <c r="GJO1365" s="76"/>
      <c r="GJP1365" s="76"/>
      <c r="GJQ1365" s="76"/>
      <c r="GJR1365" s="76"/>
      <c r="GJS1365" s="76"/>
      <c r="GJT1365" s="76"/>
      <c r="GJU1365" s="76"/>
      <c r="GJV1365" s="76"/>
      <c r="GJW1365" s="76"/>
      <c r="GJX1365" s="76"/>
      <c r="GJY1365" s="76"/>
      <c r="GJZ1365" s="76"/>
      <c r="GKA1365" s="76"/>
      <c r="GKB1365" s="76"/>
      <c r="GKC1365" s="76"/>
      <c r="GKD1365" s="76"/>
      <c r="GKE1365" s="76"/>
      <c r="GKF1365" s="76"/>
      <c r="GKG1365" s="76"/>
      <c r="GKH1365" s="76"/>
      <c r="GKI1365" s="76"/>
      <c r="GKJ1365" s="76"/>
      <c r="GKK1365" s="76"/>
      <c r="GKL1365" s="76"/>
      <c r="GKM1365" s="76"/>
      <c r="GKN1365" s="76"/>
      <c r="GKO1365" s="76"/>
      <c r="GKP1365" s="76"/>
      <c r="GKQ1365" s="76"/>
      <c r="GKR1365" s="76"/>
      <c r="GKS1365" s="76"/>
      <c r="GKT1365" s="76"/>
      <c r="GKU1365" s="76"/>
      <c r="GKV1365" s="76"/>
      <c r="GKW1365" s="76"/>
      <c r="GKX1365" s="76"/>
      <c r="GKY1365" s="76"/>
      <c r="GKZ1365" s="76"/>
      <c r="GLA1365" s="76"/>
      <c r="GLB1365" s="76"/>
      <c r="GLC1365" s="76"/>
      <c r="GLD1365" s="76"/>
      <c r="GLE1365" s="76"/>
      <c r="GLF1365" s="76"/>
      <c r="GLG1365" s="76"/>
      <c r="GLH1365" s="76"/>
      <c r="GLI1365" s="76"/>
      <c r="GLJ1365" s="76"/>
      <c r="GLK1365" s="76"/>
      <c r="GLL1365" s="76"/>
      <c r="GLM1365" s="76"/>
      <c r="GLN1365" s="76"/>
      <c r="GLO1365" s="76"/>
      <c r="GLP1365" s="76"/>
      <c r="GLQ1365" s="76"/>
      <c r="GLR1365" s="76"/>
      <c r="GLS1365" s="76"/>
      <c r="GLT1365" s="76"/>
      <c r="GLU1365" s="76"/>
      <c r="GLV1365" s="76"/>
      <c r="GLW1365" s="76"/>
      <c r="GLX1365" s="76"/>
      <c r="GLY1365" s="76"/>
      <c r="GLZ1365" s="76"/>
      <c r="GMA1365" s="76"/>
      <c r="GMB1365" s="76"/>
      <c r="GMC1365" s="76"/>
      <c r="GMD1365" s="76"/>
      <c r="GME1365" s="76"/>
      <c r="GMF1365" s="76"/>
      <c r="GMG1365" s="76"/>
      <c r="GMH1365" s="76"/>
      <c r="GMI1365" s="76"/>
      <c r="GMJ1365" s="76"/>
      <c r="GMK1365" s="76"/>
      <c r="GML1365" s="76"/>
      <c r="GMM1365" s="76"/>
      <c r="GMN1365" s="76"/>
      <c r="GMO1365" s="76"/>
      <c r="GMP1365" s="76"/>
      <c r="GMQ1365" s="76"/>
      <c r="GMR1365" s="76"/>
      <c r="GMS1365" s="76"/>
      <c r="GMT1365" s="76"/>
      <c r="GMU1365" s="76"/>
      <c r="GMV1365" s="76"/>
      <c r="GMW1365" s="76"/>
      <c r="GMX1365" s="76"/>
      <c r="GMY1365" s="76"/>
      <c r="GMZ1365" s="76"/>
      <c r="GNA1365" s="76"/>
      <c r="GNB1365" s="76"/>
      <c r="GNC1365" s="76"/>
      <c r="GND1365" s="76"/>
      <c r="GNE1365" s="76"/>
      <c r="GNF1365" s="76"/>
      <c r="GNG1365" s="76"/>
      <c r="GNH1365" s="76"/>
      <c r="GNI1365" s="76"/>
      <c r="GNJ1365" s="76"/>
      <c r="GNK1365" s="76"/>
      <c r="GNL1365" s="76"/>
      <c r="GNM1365" s="76"/>
      <c r="GNN1365" s="76"/>
      <c r="GNO1365" s="76"/>
      <c r="GNP1365" s="76"/>
      <c r="GNQ1365" s="76"/>
      <c r="GNR1365" s="76"/>
      <c r="GNS1365" s="76"/>
      <c r="GNT1365" s="76"/>
      <c r="GNU1365" s="76"/>
      <c r="GNV1365" s="76"/>
      <c r="GNW1365" s="76"/>
      <c r="GNX1365" s="76"/>
      <c r="GNY1365" s="76"/>
      <c r="GNZ1365" s="76"/>
      <c r="GOA1365" s="76"/>
      <c r="GOB1365" s="76"/>
      <c r="GOC1365" s="50"/>
      <c r="GOD1365" s="76"/>
      <c r="GOE1365" s="76"/>
      <c r="GOF1365" s="76"/>
      <c r="GOG1365" s="76"/>
      <c r="GOH1365" s="76"/>
      <c r="GOI1365" s="76"/>
      <c r="GOJ1365" s="76"/>
      <c r="GOK1365" s="76"/>
      <c r="GOL1365" s="76"/>
      <c r="GOM1365" s="76"/>
      <c r="GON1365" s="76"/>
      <c r="GOO1365" s="76"/>
      <c r="GOP1365" s="76"/>
      <c r="GOQ1365" s="76"/>
      <c r="GOR1365" s="76"/>
      <c r="GOS1365" s="76"/>
      <c r="GOT1365" s="76"/>
      <c r="GOU1365" s="76"/>
      <c r="GOV1365" s="76"/>
      <c r="GOW1365" s="76"/>
      <c r="GOX1365" s="76"/>
      <c r="GOY1365" s="76"/>
      <c r="GOZ1365" s="76"/>
      <c r="GPA1365" s="76"/>
      <c r="GPB1365" s="76"/>
      <c r="GPC1365" s="76"/>
      <c r="GPD1365" s="76"/>
      <c r="GPE1365" s="76"/>
      <c r="GPF1365" s="76"/>
      <c r="GPG1365" s="76"/>
      <c r="GPH1365" s="76"/>
      <c r="GPI1365" s="76"/>
      <c r="GPJ1365" s="76"/>
      <c r="GPK1365" s="76"/>
      <c r="GPL1365" s="76"/>
      <c r="GPM1365" s="76"/>
      <c r="GPN1365" s="76"/>
      <c r="GPO1365" s="76"/>
      <c r="GPP1365" s="76"/>
      <c r="GPQ1365" s="76"/>
      <c r="GPR1365" s="76"/>
      <c r="GPS1365" s="76"/>
      <c r="GPT1365" s="76"/>
      <c r="GPU1365" s="76"/>
      <c r="GPV1365" s="76"/>
      <c r="GPW1365" s="76"/>
      <c r="GPX1365" s="76"/>
      <c r="GPY1365" s="76"/>
      <c r="GPZ1365" s="76"/>
      <c r="GQA1365" s="76"/>
      <c r="GQB1365" s="76"/>
      <c r="GQC1365" s="76"/>
      <c r="GQD1365" s="76"/>
      <c r="GQE1365" s="76"/>
      <c r="GQF1365" s="76"/>
      <c r="GQG1365" s="76"/>
      <c r="GQH1365" s="76"/>
      <c r="GQI1365" s="76"/>
      <c r="GQJ1365" s="76"/>
      <c r="GQK1365" s="76"/>
      <c r="GQL1365" s="76"/>
      <c r="GQM1365" s="76"/>
      <c r="GQN1365" s="76"/>
      <c r="GQO1365" s="76"/>
      <c r="GQP1365" s="76"/>
      <c r="GQQ1365" s="76"/>
      <c r="GQR1365" s="76"/>
      <c r="GQS1365" s="76"/>
      <c r="GQT1365" s="76"/>
      <c r="GQU1365" s="76"/>
      <c r="GQV1365" s="76"/>
      <c r="GQW1365" s="76"/>
      <c r="GQX1365" s="76"/>
      <c r="GQY1365" s="76"/>
      <c r="GQZ1365" s="76"/>
      <c r="GRA1365" s="76"/>
      <c r="GRB1365" s="76"/>
      <c r="GRC1365" s="76"/>
      <c r="GRD1365" s="76"/>
      <c r="GRE1365" s="76"/>
      <c r="GRF1365" s="76"/>
      <c r="GRG1365" s="76"/>
      <c r="GRH1365" s="76"/>
      <c r="GRI1365" s="76"/>
      <c r="GRJ1365" s="76"/>
      <c r="GRK1365" s="76"/>
      <c r="GRL1365" s="76"/>
      <c r="GRM1365" s="76"/>
      <c r="GRN1365" s="76"/>
      <c r="GRO1365" s="76"/>
      <c r="GRP1365" s="76"/>
      <c r="GRQ1365" s="76"/>
      <c r="GRR1365" s="76"/>
      <c r="GRS1365" s="76"/>
      <c r="GRT1365" s="76"/>
      <c r="GRU1365" s="76"/>
      <c r="GRV1365" s="76"/>
      <c r="GRW1365" s="76"/>
      <c r="GRX1365" s="76"/>
      <c r="GRY1365" s="76"/>
      <c r="GRZ1365" s="76"/>
      <c r="GSA1365" s="76"/>
      <c r="GSB1365" s="76"/>
      <c r="GSC1365" s="76"/>
      <c r="GSD1365" s="76"/>
      <c r="GSE1365" s="76"/>
      <c r="GSF1365" s="76"/>
      <c r="GSG1365" s="76"/>
      <c r="GSH1365" s="76"/>
      <c r="GSI1365" s="76"/>
      <c r="GSJ1365" s="76"/>
      <c r="GSK1365" s="76"/>
      <c r="GSL1365" s="76"/>
      <c r="GSM1365" s="76"/>
      <c r="GSN1365" s="76"/>
      <c r="GSO1365" s="76"/>
      <c r="GSP1365" s="76"/>
      <c r="GSQ1365" s="76"/>
      <c r="GSR1365" s="76"/>
      <c r="GSS1365" s="76"/>
      <c r="GST1365" s="76"/>
      <c r="GSU1365" s="76"/>
      <c r="GSV1365" s="76"/>
      <c r="GSW1365" s="76"/>
      <c r="GSX1365" s="76"/>
      <c r="GSY1365" s="76"/>
      <c r="GSZ1365" s="76"/>
      <c r="GTA1365" s="76"/>
      <c r="GTB1365" s="76"/>
      <c r="GTC1365" s="76"/>
      <c r="GTD1365" s="76"/>
      <c r="GTE1365" s="76"/>
      <c r="GTF1365" s="76"/>
      <c r="GTG1365" s="76"/>
      <c r="GTH1365" s="76"/>
      <c r="GTI1365" s="76"/>
      <c r="GTJ1365" s="76"/>
      <c r="GTK1365" s="76"/>
      <c r="GTL1365" s="76"/>
      <c r="GTM1365" s="76"/>
      <c r="GTN1365" s="76"/>
      <c r="GTO1365" s="76"/>
      <c r="GTP1365" s="76"/>
      <c r="GTQ1365" s="76"/>
      <c r="GTR1365" s="76"/>
      <c r="GTS1365" s="76"/>
      <c r="GTT1365" s="76"/>
      <c r="GTU1365" s="76"/>
      <c r="GTV1365" s="76"/>
      <c r="GTW1365" s="76"/>
      <c r="GTX1365" s="76"/>
      <c r="GTY1365" s="76"/>
      <c r="GTZ1365" s="76"/>
      <c r="GUA1365" s="76"/>
      <c r="GUB1365" s="76"/>
      <c r="GUC1365" s="76"/>
      <c r="GUD1365" s="76"/>
      <c r="GUE1365" s="76"/>
      <c r="GUF1365" s="76"/>
      <c r="GUG1365" s="76"/>
      <c r="GUH1365" s="76"/>
      <c r="GUI1365" s="76"/>
      <c r="GUJ1365" s="76"/>
      <c r="GUK1365" s="76"/>
      <c r="GUL1365" s="76"/>
      <c r="GUM1365" s="76"/>
      <c r="GUN1365" s="76"/>
      <c r="GUO1365" s="76"/>
      <c r="GUP1365" s="76"/>
      <c r="GUQ1365" s="76"/>
      <c r="GUR1365" s="76"/>
      <c r="GUS1365" s="76"/>
      <c r="GUT1365" s="76"/>
      <c r="GUU1365" s="76"/>
      <c r="GUV1365" s="76"/>
      <c r="GUW1365" s="76"/>
      <c r="GUX1365" s="76"/>
      <c r="GUY1365" s="76"/>
      <c r="GUZ1365" s="76"/>
      <c r="GVA1365" s="76"/>
      <c r="GVB1365" s="76"/>
      <c r="GVC1365" s="76"/>
      <c r="GVD1365" s="76"/>
      <c r="GVE1365" s="76"/>
      <c r="GVF1365" s="76"/>
      <c r="GVG1365" s="76"/>
      <c r="GVH1365" s="76"/>
      <c r="GVI1365" s="76"/>
      <c r="GVJ1365" s="76"/>
      <c r="GVK1365" s="76"/>
      <c r="GVL1365" s="76"/>
      <c r="GVM1365" s="76"/>
      <c r="GVN1365" s="76"/>
      <c r="GVO1365" s="76"/>
      <c r="GVP1365" s="76"/>
      <c r="GVQ1365" s="76"/>
      <c r="GVR1365" s="76"/>
      <c r="GVS1365" s="76"/>
      <c r="GVT1365" s="76"/>
      <c r="GVU1365" s="76"/>
      <c r="GVV1365" s="76"/>
      <c r="GVW1365" s="76"/>
      <c r="GVX1365" s="76"/>
      <c r="GVY1365" s="76"/>
      <c r="GVZ1365" s="76"/>
      <c r="GWA1365" s="76"/>
      <c r="GWB1365" s="76"/>
      <c r="GWC1365" s="76"/>
      <c r="GWD1365" s="76"/>
      <c r="GWE1365" s="76"/>
      <c r="GWF1365" s="76"/>
      <c r="GWG1365" s="76"/>
      <c r="GWH1365" s="76"/>
      <c r="GWI1365" s="76"/>
      <c r="GWJ1365" s="76"/>
      <c r="GWK1365" s="76"/>
      <c r="GWL1365" s="76"/>
      <c r="GWM1365" s="76"/>
      <c r="GWN1365" s="76"/>
      <c r="GWO1365" s="76"/>
      <c r="GWP1365" s="76"/>
      <c r="GWQ1365" s="76"/>
      <c r="GWR1365" s="76"/>
      <c r="GWS1365" s="76"/>
      <c r="GWT1365" s="76"/>
      <c r="GWU1365" s="76"/>
      <c r="GWV1365" s="76"/>
      <c r="GWW1365" s="76"/>
      <c r="GWX1365" s="76"/>
      <c r="GWY1365" s="76"/>
      <c r="GWZ1365" s="76"/>
      <c r="GXA1365" s="76"/>
      <c r="GXB1365" s="76"/>
      <c r="GXC1365" s="76"/>
      <c r="GXD1365" s="76"/>
      <c r="GXE1365" s="76"/>
      <c r="GXF1365" s="76"/>
      <c r="GXG1365" s="76"/>
      <c r="GXH1365" s="76"/>
      <c r="GXI1365" s="76"/>
      <c r="GXJ1365" s="76"/>
      <c r="GXK1365" s="76"/>
      <c r="GXL1365" s="76"/>
      <c r="GXM1365" s="76"/>
      <c r="GXN1365" s="76"/>
      <c r="GXO1365" s="76"/>
      <c r="GXP1365" s="76"/>
      <c r="GXQ1365" s="76"/>
      <c r="GXR1365" s="76"/>
      <c r="GXS1365" s="76"/>
      <c r="GXT1365" s="76"/>
      <c r="GXU1365" s="76"/>
      <c r="GXV1365" s="76"/>
      <c r="GXW1365" s="76"/>
      <c r="GXX1365" s="76"/>
      <c r="GXY1365" s="50"/>
      <c r="GXZ1365" s="76"/>
      <c r="GYA1365" s="76"/>
      <c r="GYB1365" s="76"/>
      <c r="GYC1365" s="76"/>
      <c r="GYD1365" s="76"/>
      <c r="GYE1365" s="76"/>
      <c r="GYF1365" s="76"/>
      <c r="GYG1365" s="76"/>
      <c r="GYH1365" s="76"/>
      <c r="GYI1365" s="76"/>
      <c r="GYJ1365" s="76"/>
      <c r="GYK1365" s="76"/>
      <c r="GYL1365" s="76"/>
      <c r="GYM1365" s="76"/>
      <c r="GYN1365" s="76"/>
      <c r="GYO1365" s="76"/>
      <c r="GYP1365" s="76"/>
      <c r="GYQ1365" s="76"/>
      <c r="GYR1365" s="76"/>
      <c r="GYS1365" s="76"/>
      <c r="GYT1365" s="76"/>
      <c r="GYU1365" s="76"/>
      <c r="GYV1365" s="76"/>
      <c r="GYW1365" s="76"/>
      <c r="GYX1365" s="76"/>
      <c r="GYY1365" s="76"/>
      <c r="GYZ1365" s="76"/>
      <c r="GZA1365" s="76"/>
      <c r="GZB1365" s="76"/>
      <c r="GZC1365" s="76"/>
      <c r="GZD1365" s="76"/>
      <c r="GZE1365" s="76"/>
      <c r="GZF1365" s="76"/>
      <c r="GZG1365" s="76"/>
      <c r="GZH1365" s="76"/>
      <c r="GZI1365" s="76"/>
      <c r="GZJ1365" s="76"/>
      <c r="GZK1365" s="76"/>
      <c r="GZL1365" s="76"/>
      <c r="GZM1365" s="76"/>
      <c r="GZN1365" s="76"/>
      <c r="GZO1365" s="76"/>
      <c r="GZP1365" s="76"/>
      <c r="GZQ1365" s="76"/>
      <c r="GZR1365" s="76"/>
      <c r="GZS1365" s="76"/>
      <c r="GZT1365" s="76"/>
      <c r="GZU1365" s="76"/>
      <c r="GZV1365" s="76"/>
      <c r="GZW1365" s="76"/>
      <c r="GZX1365" s="76"/>
      <c r="GZY1365" s="76"/>
      <c r="GZZ1365" s="76"/>
      <c r="HAA1365" s="76"/>
      <c r="HAB1365" s="76"/>
      <c r="HAC1365" s="76"/>
      <c r="HAD1365" s="76"/>
      <c r="HAE1365" s="76"/>
      <c r="HAF1365" s="76"/>
      <c r="HAG1365" s="76"/>
      <c r="HAH1365" s="76"/>
      <c r="HAI1365" s="76"/>
      <c r="HAJ1365" s="76"/>
      <c r="HAK1365" s="76"/>
      <c r="HAL1365" s="76"/>
      <c r="HAM1365" s="76"/>
      <c r="HAN1365" s="76"/>
      <c r="HAO1365" s="76"/>
      <c r="HAP1365" s="76"/>
      <c r="HAQ1365" s="76"/>
      <c r="HAR1365" s="76"/>
      <c r="HAS1365" s="76"/>
      <c r="HAT1365" s="76"/>
      <c r="HAU1365" s="76"/>
      <c r="HAV1365" s="76"/>
      <c r="HAW1365" s="76"/>
      <c r="HAX1365" s="76"/>
      <c r="HAY1365" s="76"/>
      <c r="HAZ1365" s="76"/>
      <c r="HBA1365" s="76"/>
      <c r="HBB1365" s="76"/>
      <c r="HBC1365" s="76"/>
      <c r="HBD1365" s="76"/>
      <c r="HBE1365" s="76"/>
      <c r="HBF1365" s="76"/>
      <c r="HBG1365" s="76"/>
      <c r="HBH1365" s="76"/>
      <c r="HBI1365" s="76"/>
      <c r="HBJ1365" s="76"/>
      <c r="HBK1365" s="76"/>
      <c r="HBL1365" s="76"/>
      <c r="HBM1365" s="76"/>
      <c r="HBN1365" s="76"/>
      <c r="HBO1365" s="76"/>
      <c r="HBP1365" s="76"/>
      <c r="HBQ1365" s="76"/>
      <c r="HBR1365" s="76"/>
      <c r="HBS1365" s="76"/>
      <c r="HBT1365" s="76"/>
      <c r="HBU1365" s="76"/>
      <c r="HBV1365" s="76"/>
      <c r="HBW1365" s="76"/>
      <c r="HBX1365" s="76"/>
      <c r="HBY1365" s="76"/>
      <c r="HBZ1365" s="76"/>
      <c r="HCA1365" s="76"/>
      <c r="HCB1365" s="76"/>
      <c r="HCC1365" s="76"/>
      <c r="HCD1365" s="76"/>
      <c r="HCE1365" s="76"/>
      <c r="HCF1365" s="76"/>
      <c r="HCG1365" s="76"/>
      <c r="HCH1365" s="76"/>
      <c r="HCI1365" s="76"/>
      <c r="HCJ1365" s="76"/>
      <c r="HCK1365" s="76"/>
      <c r="HCL1365" s="76"/>
      <c r="HCM1365" s="76"/>
      <c r="HCN1365" s="76"/>
      <c r="HCO1365" s="76"/>
      <c r="HCP1365" s="76"/>
      <c r="HCQ1365" s="76"/>
      <c r="HCR1365" s="76"/>
      <c r="HCS1365" s="76"/>
      <c r="HCT1365" s="76"/>
      <c r="HCU1365" s="76"/>
      <c r="HCV1365" s="76"/>
      <c r="HCW1365" s="76"/>
      <c r="HCX1365" s="76"/>
      <c r="HCY1365" s="76"/>
      <c r="HCZ1365" s="76"/>
      <c r="HDA1365" s="76"/>
      <c r="HDB1365" s="76"/>
      <c r="HDC1365" s="76"/>
      <c r="HDD1365" s="76"/>
      <c r="HDE1365" s="76"/>
      <c r="HDF1365" s="76"/>
      <c r="HDG1365" s="76"/>
      <c r="HDH1365" s="76"/>
      <c r="HDI1365" s="76"/>
      <c r="HDJ1365" s="76"/>
      <c r="HDK1365" s="76"/>
      <c r="HDL1365" s="76"/>
      <c r="HDM1365" s="76"/>
      <c r="HDN1365" s="76"/>
      <c r="HDO1365" s="76"/>
      <c r="HDP1365" s="76"/>
      <c r="HDQ1365" s="76"/>
      <c r="HDR1365" s="76"/>
      <c r="HDS1365" s="76"/>
      <c r="HDT1365" s="76"/>
      <c r="HDU1365" s="76"/>
      <c r="HDV1365" s="76"/>
      <c r="HDW1365" s="76"/>
      <c r="HDX1365" s="76"/>
      <c r="HDY1365" s="76"/>
      <c r="HDZ1365" s="76"/>
      <c r="HEA1365" s="76"/>
      <c r="HEB1365" s="76"/>
      <c r="HEC1365" s="76"/>
      <c r="HED1365" s="76"/>
      <c r="HEE1365" s="76"/>
      <c r="HEF1365" s="76"/>
      <c r="HEG1365" s="76"/>
      <c r="HEH1365" s="76"/>
      <c r="HEI1365" s="76"/>
      <c r="HEJ1365" s="76"/>
      <c r="HEK1365" s="76"/>
      <c r="HEL1365" s="76"/>
      <c r="HEM1365" s="76"/>
      <c r="HEN1365" s="76"/>
      <c r="HEO1365" s="76"/>
      <c r="HEP1365" s="76"/>
      <c r="HEQ1365" s="76"/>
      <c r="HER1365" s="76"/>
      <c r="HES1365" s="76"/>
      <c r="HET1365" s="76"/>
      <c r="HEU1365" s="76"/>
      <c r="HEV1365" s="76"/>
      <c r="HEW1365" s="76"/>
      <c r="HEX1365" s="76"/>
      <c r="HEY1365" s="76"/>
      <c r="HEZ1365" s="76"/>
      <c r="HFA1365" s="76"/>
      <c r="HFB1365" s="76"/>
      <c r="HFC1365" s="76"/>
      <c r="HFD1365" s="76"/>
      <c r="HFE1365" s="76"/>
      <c r="HFF1365" s="76"/>
      <c r="HFG1365" s="76"/>
      <c r="HFH1365" s="76"/>
      <c r="HFI1365" s="76"/>
      <c r="HFJ1365" s="76"/>
      <c r="HFK1365" s="76"/>
      <c r="HFL1365" s="76"/>
      <c r="HFM1365" s="76"/>
      <c r="HFN1365" s="76"/>
      <c r="HFO1365" s="76"/>
      <c r="HFP1365" s="76"/>
      <c r="HFQ1365" s="76"/>
      <c r="HFR1365" s="76"/>
      <c r="HFS1365" s="76"/>
      <c r="HFT1365" s="76"/>
      <c r="HFU1365" s="76"/>
      <c r="HFV1365" s="76"/>
      <c r="HFW1365" s="76"/>
      <c r="HFX1365" s="76"/>
      <c r="HFY1365" s="76"/>
      <c r="HFZ1365" s="76"/>
      <c r="HGA1365" s="76"/>
      <c r="HGB1365" s="76"/>
      <c r="HGC1365" s="76"/>
      <c r="HGD1365" s="76"/>
      <c r="HGE1365" s="76"/>
      <c r="HGF1365" s="76"/>
      <c r="HGG1365" s="76"/>
      <c r="HGH1365" s="76"/>
      <c r="HGI1365" s="76"/>
      <c r="HGJ1365" s="76"/>
      <c r="HGK1365" s="76"/>
      <c r="HGL1365" s="76"/>
      <c r="HGM1365" s="76"/>
      <c r="HGN1365" s="76"/>
      <c r="HGO1365" s="76"/>
      <c r="HGP1365" s="76"/>
      <c r="HGQ1365" s="76"/>
      <c r="HGR1365" s="76"/>
      <c r="HGS1365" s="76"/>
      <c r="HGT1365" s="76"/>
      <c r="HGU1365" s="76"/>
      <c r="HGV1365" s="76"/>
      <c r="HGW1365" s="76"/>
      <c r="HGX1365" s="76"/>
      <c r="HGY1365" s="76"/>
      <c r="HGZ1365" s="76"/>
      <c r="HHA1365" s="76"/>
      <c r="HHB1365" s="76"/>
      <c r="HHC1365" s="76"/>
      <c r="HHD1365" s="76"/>
      <c r="HHE1365" s="76"/>
      <c r="HHF1365" s="76"/>
      <c r="HHG1365" s="76"/>
      <c r="HHH1365" s="76"/>
      <c r="HHI1365" s="76"/>
      <c r="HHJ1365" s="76"/>
      <c r="HHK1365" s="76"/>
      <c r="HHL1365" s="76"/>
      <c r="HHM1365" s="76"/>
      <c r="HHN1365" s="76"/>
      <c r="HHO1365" s="76"/>
      <c r="HHP1365" s="76"/>
      <c r="HHQ1365" s="76"/>
      <c r="HHR1365" s="76"/>
      <c r="HHS1365" s="76"/>
      <c r="HHT1365" s="76"/>
      <c r="HHU1365" s="50"/>
      <c r="HHV1365" s="76"/>
      <c r="HHW1365" s="76"/>
      <c r="HHX1365" s="76"/>
      <c r="HHY1365" s="76"/>
      <c r="HHZ1365" s="76"/>
      <c r="HIA1365" s="76"/>
      <c r="HIB1365" s="76"/>
      <c r="HIC1365" s="76"/>
      <c r="HID1365" s="76"/>
      <c r="HIE1365" s="76"/>
      <c r="HIF1365" s="76"/>
      <c r="HIG1365" s="76"/>
      <c r="HIH1365" s="76"/>
      <c r="HII1365" s="76"/>
      <c r="HIJ1365" s="76"/>
      <c r="HIK1365" s="76"/>
      <c r="HIL1365" s="76"/>
      <c r="HIM1365" s="76"/>
      <c r="HIN1365" s="76"/>
      <c r="HIO1365" s="76"/>
      <c r="HIP1365" s="76"/>
      <c r="HIQ1365" s="76"/>
      <c r="HIR1365" s="76"/>
      <c r="HIS1365" s="76"/>
      <c r="HIT1365" s="76"/>
      <c r="HIU1365" s="76"/>
      <c r="HIV1365" s="76"/>
      <c r="HIW1365" s="76"/>
      <c r="HIX1365" s="76"/>
      <c r="HIY1365" s="76"/>
      <c r="HIZ1365" s="76"/>
      <c r="HJA1365" s="76"/>
      <c r="HJB1365" s="76"/>
      <c r="HJC1365" s="76"/>
      <c r="HJD1365" s="76"/>
      <c r="HJE1365" s="76"/>
      <c r="HJF1365" s="76"/>
      <c r="HJG1365" s="76"/>
      <c r="HJH1365" s="76"/>
      <c r="HJI1365" s="76"/>
      <c r="HJJ1365" s="76"/>
      <c r="HJK1365" s="76"/>
      <c r="HJL1365" s="76"/>
      <c r="HJM1365" s="76"/>
      <c r="HJN1365" s="76"/>
      <c r="HJO1365" s="76"/>
      <c r="HJP1365" s="76"/>
      <c r="HJQ1365" s="76"/>
      <c r="HJR1365" s="76"/>
      <c r="HJS1365" s="76"/>
      <c r="HJT1365" s="76"/>
      <c r="HJU1365" s="76"/>
      <c r="HJV1365" s="76"/>
      <c r="HJW1365" s="76"/>
      <c r="HJX1365" s="76"/>
      <c r="HJY1365" s="76"/>
      <c r="HJZ1365" s="76"/>
      <c r="HKA1365" s="76"/>
      <c r="HKB1365" s="76"/>
      <c r="HKC1365" s="76"/>
      <c r="HKD1365" s="76"/>
      <c r="HKE1365" s="76"/>
      <c r="HKF1365" s="76"/>
      <c r="HKG1365" s="76"/>
      <c r="HKH1365" s="76"/>
      <c r="HKI1365" s="76"/>
      <c r="HKJ1365" s="76"/>
      <c r="HKK1365" s="76"/>
      <c r="HKL1365" s="76"/>
      <c r="HKM1365" s="76"/>
      <c r="HKN1365" s="76"/>
      <c r="HKO1365" s="76"/>
      <c r="HKP1365" s="76"/>
      <c r="HKQ1365" s="76"/>
      <c r="HKR1365" s="76"/>
      <c r="HKS1365" s="76"/>
      <c r="HKT1365" s="76"/>
      <c r="HKU1365" s="76"/>
      <c r="HKV1365" s="76"/>
      <c r="HKW1365" s="76"/>
      <c r="HKX1365" s="76"/>
      <c r="HKY1365" s="76"/>
      <c r="HKZ1365" s="76"/>
      <c r="HLA1365" s="76"/>
      <c r="HLB1365" s="76"/>
      <c r="HLC1365" s="76"/>
      <c r="HLD1365" s="76"/>
      <c r="HLE1365" s="76"/>
      <c r="HLF1365" s="76"/>
      <c r="HLG1365" s="76"/>
      <c r="HLH1365" s="76"/>
      <c r="HLI1365" s="76"/>
      <c r="HLJ1365" s="76"/>
      <c r="HLK1365" s="76"/>
      <c r="HLL1365" s="76"/>
      <c r="HLM1365" s="76"/>
      <c r="HLN1365" s="76"/>
      <c r="HLO1365" s="76"/>
      <c r="HLP1365" s="76"/>
      <c r="HLQ1365" s="76"/>
      <c r="HLR1365" s="76"/>
      <c r="HLS1365" s="76"/>
      <c r="HLT1365" s="76"/>
      <c r="HLU1365" s="76"/>
      <c r="HLV1365" s="76"/>
      <c r="HLW1365" s="76"/>
      <c r="HLX1365" s="76"/>
      <c r="HLY1365" s="76"/>
      <c r="HLZ1365" s="76"/>
      <c r="HMA1365" s="76"/>
      <c r="HMB1365" s="76"/>
      <c r="HMC1365" s="76"/>
      <c r="HMD1365" s="76"/>
      <c r="HME1365" s="76"/>
      <c r="HMF1365" s="76"/>
      <c r="HMG1365" s="76"/>
      <c r="HMH1365" s="76"/>
      <c r="HMI1365" s="76"/>
      <c r="HMJ1365" s="76"/>
      <c r="HMK1365" s="76"/>
      <c r="HML1365" s="76"/>
      <c r="HMM1365" s="76"/>
      <c r="HMN1365" s="76"/>
      <c r="HMO1365" s="76"/>
      <c r="HMP1365" s="76"/>
      <c r="HMQ1365" s="76"/>
      <c r="HMR1365" s="76"/>
      <c r="HMS1365" s="76"/>
      <c r="HMT1365" s="76"/>
      <c r="HMU1365" s="76"/>
      <c r="HMV1365" s="76"/>
      <c r="HMW1365" s="76"/>
      <c r="HMX1365" s="76"/>
      <c r="HMY1365" s="76"/>
      <c r="HMZ1365" s="76"/>
      <c r="HNA1365" s="76"/>
      <c r="HNB1365" s="76"/>
      <c r="HNC1365" s="76"/>
      <c r="HND1365" s="76"/>
      <c r="HNE1365" s="76"/>
      <c r="HNF1365" s="76"/>
      <c r="HNG1365" s="76"/>
      <c r="HNH1365" s="76"/>
      <c r="HNI1365" s="76"/>
      <c r="HNJ1365" s="76"/>
      <c r="HNK1365" s="76"/>
      <c r="HNL1365" s="76"/>
      <c r="HNM1365" s="76"/>
      <c r="HNN1365" s="76"/>
      <c r="HNO1365" s="76"/>
      <c r="HNP1365" s="76"/>
      <c r="HNQ1365" s="76"/>
      <c r="HNR1365" s="76"/>
      <c r="HNS1365" s="76"/>
      <c r="HNT1365" s="76"/>
      <c r="HNU1365" s="76"/>
      <c r="HNV1365" s="76"/>
      <c r="HNW1365" s="76"/>
      <c r="HNX1365" s="76"/>
      <c r="HNY1365" s="76"/>
      <c r="HNZ1365" s="76"/>
      <c r="HOA1365" s="76"/>
      <c r="HOB1365" s="76"/>
      <c r="HOC1365" s="76"/>
      <c r="HOD1365" s="76"/>
      <c r="HOE1365" s="76"/>
      <c r="HOF1365" s="76"/>
      <c r="HOG1365" s="76"/>
      <c r="HOH1365" s="76"/>
      <c r="HOI1365" s="76"/>
      <c r="HOJ1365" s="76"/>
      <c r="HOK1365" s="76"/>
      <c r="HOL1365" s="76"/>
      <c r="HOM1365" s="76"/>
      <c r="HON1365" s="76"/>
      <c r="HOO1365" s="76"/>
      <c r="HOP1365" s="76"/>
      <c r="HOQ1365" s="76"/>
      <c r="HOR1365" s="76"/>
      <c r="HOS1365" s="76"/>
      <c r="HOT1365" s="76"/>
      <c r="HOU1365" s="76"/>
      <c r="HOV1365" s="76"/>
      <c r="HOW1365" s="76"/>
      <c r="HOX1365" s="76"/>
      <c r="HOY1365" s="76"/>
      <c r="HOZ1365" s="76"/>
      <c r="HPA1365" s="76"/>
      <c r="HPB1365" s="76"/>
      <c r="HPC1365" s="76"/>
      <c r="HPD1365" s="76"/>
      <c r="HPE1365" s="76"/>
      <c r="HPF1365" s="76"/>
      <c r="HPG1365" s="76"/>
      <c r="HPH1365" s="76"/>
      <c r="HPI1365" s="76"/>
      <c r="HPJ1365" s="76"/>
      <c r="HPK1365" s="76"/>
      <c r="HPL1365" s="76"/>
      <c r="HPM1365" s="76"/>
      <c r="HPN1365" s="76"/>
      <c r="HPO1365" s="76"/>
      <c r="HPP1365" s="76"/>
      <c r="HPQ1365" s="76"/>
      <c r="HPR1365" s="76"/>
      <c r="HPS1365" s="76"/>
      <c r="HPT1365" s="76"/>
      <c r="HPU1365" s="76"/>
      <c r="HPV1365" s="76"/>
      <c r="HPW1365" s="76"/>
      <c r="HPX1365" s="76"/>
      <c r="HPY1365" s="76"/>
      <c r="HPZ1365" s="76"/>
      <c r="HQA1365" s="76"/>
      <c r="HQB1365" s="76"/>
      <c r="HQC1365" s="76"/>
      <c r="HQD1365" s="76"/>
      <c r="HQE1365" s="76"/>
      <c r="HQF1365" s="76"/>
      <c r="HQG1365" s="76"/>
      <c r="HQH1365" s="76"/>
      <c r="HQI1365" s="76"/>
      <c r="HQJ1365" s="76"/>
      <c r="HQK1365" s="76"/>
      <c r="HQL1365" s="76"/>
      <c r="HQM1365" s="76"/>
      <c r="HQN1365" s="76"/>
      <c r="HQO1365" s="76"/>
      <c r="HQP1365" s="76"/>
      <c r="HQQ1365" s="76"/>
      <c r="HQR1365" s="76"/>
      <c r="HQS1365" s="76"/>
      <c r="HQT1365" s="76"/>
      <c r="HQU1365" s="76"/>
      <c r="HQV1365" s="76"/>
      <c r="HQW1365" s="76"/>
      <c r="HQX1365" s="76"/>
      <c r="HQY1365" s="76"/>
      <c r="HQZ1365" s="76"/>
      <c r="HRA1365" s="76"/>
      <c r="HRB1365" s="76"/>
      <c r="HRC1365" s="76"/>
      <c r="HRD1365" s="76"/>
      <c r="HRE1365" s="76"/>
      <c r="HRF1365" s="76"/>
      <c r="HRG1365" s="76"/>
      <c r="HRH1365" s="76"/>
      <c r="HRI1365" s="76"/>
      <c r="HRJ1365" s="76"/>
      <c r="HRK1365" s="76"/>
      <c r="HRL1365" s="76"/>
      <c r="HRM1365" s="76"/>
      <c r="HRN1365" s="76"/>
      <c r="HRO1365" s="76"/>
      <c r="HRP1365" s="76"/>
      <c r="HRQ1365" s="50"/>
      <c r="HRR1365" s="76"/>
      <c r="HRS1365" s="76"/>
      <c r="HRT1365" s="76"/>
      <c r="HRU1365" s="76"/>
      <c r="HRV1365" s="76"/>
      <c r="HRW1365" s="76"/>
      <c r="HRX1365" s="76"/>
      <c r="HRY1365" s="76"/>
      <c r="HRZ1365" s="76"/>
      <c r="HSA1365" s="76"/>
      <c r="HSB1365" s="76"/>
      <c r="HSC1365" s="76"/>
      <c r="HSD1365" s="76"/>
      <c r="HSE1365" s="76"/>
      <c r="HSF1365" s="76"/>
      <c r="HSG1365" s="76"/>
      <c r="HSH1365" s="76"/>
      <c r="HSI1365" s="76"/>
      <c r="HSJ1365" s="76"/>
      <c r="HSK1365" s="76"/>
      <c r="HSL1365" s="76"/>
      <c r="HSM1365" s="76"/>
      <c r="HSN1365" s="76"/>
      <c r="HSO1365" s="76"/>
      <c r="HSP1365" s="76"/>
      <c r="HSQ1365" s="76"/>
      <c r="HSR1365" s="76"/>
      <c r="HSS1365" s="76"/>
      <c r="HST1365" s="76"/>
      <c r="HSU1365" s="76"/>
      <c r="HSV1365" s="76"/>
      <c r="HSW1365" s="76"/>
      <c r="HSX1365" s="76"/>
      <c r="HSY1365" s="76"/>
      <c r="HSZ1365" s="76"/>
      <c r="HTA1365" s="76"/>
      <c r="HTB1365" s="76"/>
      <c r="HTC1365" s="76"/>
      <c r="HTD1365" s="76"/>
      <c r="HTE1365" s="76"/>
      <c r="HTF1365" s="76"/>
      <c r="HTG1365" s="76"/>
      <c r="HTH1365" s="76"/>
      <c r="HTI1365" s="76"/>
      <c r="HTJ1365" s="76"/>
      <c r="HTK1365" s="76"/>
      <c r="HTL1365" s="76"/>
      <c r="HTM1365" s="76"/>
      <c r="HTN1365" s="76"/>
      <c r="HTO1365" s="76"/>
      <c r="HTP1365" s="76"/>
      <c r="HTQ1365" s="76"/>
      <c r="HTR1365" s="76"/>
      <c r="HTS1365" s="76"/>
      <c r="HTT1365" s="76"/>
      <c r="HTU1365" s="76"/>
      <c r="HTV1365" s="76"/>
      <c r="HTW1365" s="76"/>
      <c r="HTX1365" s="76"/>
      <c r="HTY1365" s="76"/>
      <c r="HTZ1365" s="76"/>
      <c r="HUA1365" s="76"/>
      <c r="HUB1365" s="76"/>
      <c r="HUC1365" s="76"/>
      <c r="HUD1365" s="76"/>
      <c r="HUE1365" s="76"/>
      <c r="HUF1365" s="76"/>
      <c r="HUG1365" s="76"/>
      <c r="HUH1365" s="76"/>
      <c r="HUI1365" s="76"/>
      <c r="HUJ1365" s="76"/>
      <c r="HUK1365" s="76"/>
      <c r="HUL1365" s="76"/>
      <c r="HUM1365" s="76"/>
      <c r="HUN1365" s="76"/>
      <c r="HUO1365" s="76"/>
      <c r="HUP1365" s="76"/>
      <c r="HUQ1365" s="76"/>
      <c r="HUR1365" s="76"/>
      <c r="HUS1365" s="76"/>
      <c r="HUT1365" s="76"/>
      <c r="HUU1365" s="76"/>
      <c r="HUV1365" s="76"/>
      <c r="HUW1365" s="76"/>
      <c r="HUX1365" s="76"/>
      <c r="HUY1365" s="76"/>
      <c r="HUZ1365" s="76"/>
      <c r="HVA1365" s="76"/>
      <c r="HVB1365" s="76"/>
      <c r="HVC1365" s="76"/>
      <c r="HVD1365" s="76"/>
      <c r="HVE1365" s="76"/>
      <c r="HVF1365" s="76"/>
      <c r="HVG1365" s="76"/>
      <c r="HVH1365" s="76"/>
      <c r="HVI1365" s="76"/>
      <c r="HVJ1365" s="76"/>
      <c r="HVK1365" s="76"/>
      <c r="HVL1365" s="76"/>
      <c r="HVM1365" s="76"/>
      <c r="HVN1365" s="76"/>
      <c r="HVO1365" s="76"/>
      <c r="HVP1365" s="76"/>
      <c r="HVQ1365" s="76"/>
      <c r="HVR1365" s="76"/>
      <c r="HVS1365" s="76"/>
      <c r="HVT1365" s="76"/>
      <c r="HVU1365" s="76"/>
      <c r="HVV1365" s="76"/>
      <c r="HVW1365" s="76"/>
      <c r="HVX1365" s="76"/>
      <c r="HVY1365" s="76"/>
      <c r="HVZ1365" s="76"/>
      <c r="HWA1365" s="76"/>
      <c r="HWB1365" s="76"/>
      <c r="HWC1365" s="76"/>
      <c r="HWD1365" s="76"/>
      <c r="HWE1365" s="76"/>
      <c r="HWF1365" s="76"/>
      <c r="HWG1365" s="76"/>
      <c r="HWH1365" s="76"/>
      <c r="HWI1365" s="76"/>
      <c r="HWJ1365" s="76"/>
      <c r="HWK1365" s="76"/>
      <c r="HWL1365" s="76"/>
      <c r="HWM1365" s="76"/>
      <c r="HWN1365" s="76"/>
      <c r="HWO1365" s="76"/>
      <c r="HWP1365" s="76"/>
      <c r="HWQ1365" s="76"/>
      <c r="HWR1365" s="76"/>
      <c r="HWS1365" s="76"/>
      <c r="HWT1365" s="76"/>
      <c r="HWU1365" s="76"/>
      <c r="HWV1365" s="76"/>
      <c r="HWW1365" s="76"/>
      <c r="HWX1365" s="76"/>
      <c r="HWY1365" s="76"/>
      <c r="HWZ1365" s="76"/>
      <c r="HXA1365" s="76"/>
      <c r="HXB1365" s="76"/>
      <c r="HXC1365" s="76"/>
      <c r="HXD1365" s="76"/>
      <c r="HXE1365" s="76"/>
      <c r="HXF1365" s="76"/>
      <c r="HXG1365" s="76"/>
      <c r="HXH1365" s="76"/>
      <c r="HXI1365" s="76"/>
      <c r="HXJ1365" s="76"/>
      <c r="HXK1365" s="76"/>
      <c r="HXL1365" s="76"/>
      <c r="HXM1365" s="76"/>
      <c r="HXN1365" s="76"/>
      <c r="HXO1365" s="76"/>
      <c r="HXP1365" s="76"/>
      <c r="HXQ1365" s="76"/>
      <c r="HXR1365" s="76"/>
      <c r="HXS1365" s="76"/>
      <c r="HXT1365" s="76"/>
      <c r="HXU1365" s="76"/>
      <c r="HXV1365" s="76"/>
      <c r="HXW1365" s="76"/>
      <c r="HXX1365" s="76"/>
      <c r="HXY1365" s="76"/>
      <c r="HXZ1365" s="76"/>
      <c r="HYA1365" s="76"/>
      <c r="HYB1365" s="76"/>
      <c r="HYC1365" s="76"/>
      <c r="HYD1365" s="76"/>
      <c r="HYE1365" s="76"/>
      <c r="HYF1365" s="76"/>
      <c r="HYG1365" s="76"/>
      <c r="HYH1365" s="76"/>
      <c r="HYI1365" s="76"/>
      <c r="HYJ1365" s="76"/>
      <c r="HYK1365" s="76"/>
      <c r="HYL1365" s="76"/>
      <c r="HYM1365" s="76"/>
      <c r="HYN1365" s="76"/>
      <c r="HYO1365" s="76"/>
      <c r="HYP1365" s="76"/>
      <c r="HYQ1365" s="76"/>
      <c r="HYR1365" s="76"/>
      <c r="HYS1365" s="76"/>
      <c r="HYT1365" s="76"/>
      <c r="HYU1365" s="76"/>
      <c r="HYV1365" s="76"/>
      <c r="HYW1365" s="76"/>
      <c r="HYX1365" s="76"/>
      <c r="HYY1365" s="76"/>
      <c r="HYZ1365" s="76"/>
      <c r="HZA1365" s="76"/>
      <c r="HZB1365" s="76"/>
      <c r="HZC1365" s="76"/>
      <c r="HZD1365" s="76"/>
      <c r="HZE1365" s="76"/>
      <c r="HZF1365" s="76"/>
      <c r="HZG1365" s="76"/>
      <c r="HZH1365" s="76"/>
      <c r="HZI1365" s="76"/>
      <c r="HZJ1365" s="76"/>
      <c r="HZK1365" s="76"/>
      <c r="HZL1365" s="76"/>
      <c r="HZM1365" s="76"/>
      <c r="HZN1365" s="76"/>
      <c r="HZO1365" s="76"/>
      <c r="HZP1365" s="76"/>
      <c r="HZQ1365" s="76"/>
      <c r="HZR1365" s="76"/>
      <c r="HZS1365" s="76"/>
      <c r="HZT1365" s="76"/>
      <c r="HZU1365" s="76"/>
      <c r="HZV1365" s="76"/>
      <c r="HZW1365" s="76"/>
      <c r="HZX1365" s="76"/>
      <c r="HZY1365" s="76"/>
      <c r="HZZ1365" s="76"/>
      <c r="IAA1365" s="76"/>
      <c r="IAB1365" s="76"/>
      <c r="IAC1365" s="76"/>
      <c r="IAD1365" s="76"/>
      <c r="IAE1365" s="76"/>
      <c r="IAF1365" s="76"/>
      <c r="IAG1365" s="76"/>
      <c r="IAH1365" s="76"/>
      <c r="IAI1365" s="76"/>
      <c r="IAJ1365" s="76"/>
      <c r="IAK1365" s="76"/>
      <c r="IAL1365" s="76"/>
      <c r="IAM1365" s="76"/>
      <c r="IAN1365" s="76"/>
      <c r="IAO1365" s="76"/>
      <c r="IAP1365" s="76"/>
      <c r="IAQ1365" s="76"/>
      <c r="IAR1365" s="76"/>
      <c r="IAS1365" s="76"/>
      <c r="IAT1365" s="76"/>
      <c r="IAU1365" s="76"/>
      <c r="IAV1365" s="76"/>
      <c r="IAW1365" s="76"/>
      <c r="IAX1365" s="76"/>
      <c r="IAY1365" s="76"/>
      <c r="IAZ1365" s="76"/>
      <c r="IBA1365" s="76"/>
      <c r="IBB1365" s="76"/>
      <c r="IBC1365" s="76"/>
      <c r="IBD1365" s="76"/>
      <c r="IBE1365" s="76"/>
      <c r="IBF1365" s="76"/>
      <c r="IBG1365" s="76"/>
      <c r="IBH1365" s="76"/>
      <c r="IBI1365" s="76"/>
      <c r="IBJ1365" s="76"/>
      <c r="IBK1365" s="76"/>
      <c r="IBL1365" s="76"/>
      <c r="IBM1365" s="50"/>
      <c r="IBN1365" s="76"/>
      <c r="IBO1365" s="76"/>
      <c r="IBP1365" s="76"/>
      <c r="IBQ1365" s="76"/>
      <c r="IBR1365" s="76"/>
      <c r="IBS1365" s="76"/>
      <c r="IBT1365" s="76"/>
      <c r="IBU1365" s="76"/>
      <c r="IBV1365" s="76"/>
      <c r="IBW1365" s="76"/>
      <c r="IBX1365" s="76"/>
      <c r="IBY1365" s="76"/>
      <c r="IBZ1365" s="76"/>
      <c r="ICA1365" s="76"/>
      <c r="ICB1365" s="76"/>
      <c r="ICC1365" s="76"/>
      <c r="ICD1365" s="76"/>
      <c r="ICE1365" s="76"/>
      <c r="ICF1365" s="76"/>
      <c r="ICG1365" s="76"/>
      <c r="ICH1365" s="76"/>
      <c r="ICI1365" s="76"/>
      <c r="ICJ1365" s="76"/>
      <c r="ICK1365" s="76"/>
      <c r="ICL1365" s="76"/>
      <c r="ICM1365" s="76"/>
      <c r="ICN1365" s="76"/>
      <c r="ICO1365" s="76"/>
      <c r="ICP1365" s="76"/>
      <c r="ICQ1365" s="76"/>
      <c r="ICR1365" s="76"/>
      <c r="ICS1365" s="76"/>
      <c r="ICT1365" s="76"/>
      <c r="ICU1365" s="76"/>
      <c r="ICV1365" s="76"/>
      <c r="ICW1365" s="76"/>
      <c r="ICX1365" s="76"/>
      <c r="ICY1365" s="76"/>
      <c r="ICZ1365" s="76"/>
      <c r="IDA1365" s="76"/>
      <c r="IDB1365" s="76"/>
      <c r="IDC1365" s="76"/>
      <c r="IDD1365" s="76"/>
      <c r="IDE1365" s="76"/>
      <c r="IDF1365" s="76"/>
      <c r="IDG1365" s="76"/>
      <c r="IDH1365" s="76"/>
      <c r="IDI1365" s="76"/>
      <c r="IDJ1365" s="76"/>
      <c r="IDK1365" s="76"/>
      <c r="IDL1365" s="76"/>
      <c r="IDM1365" s="76"/>
      <c r="IDN1365" s="76"/>
      <c r="IDO1365" s="76"/>
      <c r="IDP1365" s="76"/>
      <c r="IDQ1365" s="76"/>
      <c r="IDR1365" s="76"/>
      <c r="IDS1365" s="76"/>
      <c r="IDT1365" s="76"/>
      <c r="IDU1365" s="76"/>
      <c r="IDV1365" s="76"/>
      <c r="IDW1365" s="76"/>
      <c r="IDX1365" s="76"/>
      <c r="IDY1365" s="76"/>
      <c r="IDZ1365" s="76"/>
      <c r="IEA1365" s="76"/>
      <c r="IEB1365" s="76"/>
      <c r="IEC1365" s="76"/>
      <c r="IED1365" s="76"/>
      <c r="IEE1365" s="76"/>
      <c r="IEF1365" s="76"/>
      <c r="IEG1365" s="76"/>
      <c r="IEH1365" s="76"/>
      <c r="IEI1365" s="76"/>
      <c r="IEJ1365" s="76"/>
      <c r="IEK1365" s="76"/>
      <c r="IEL1365" s="76"/>
      <c r="IEM1365" s="76"/>
      <c r="IEN1365" s="76"/>
      <c r="IEO1365" s="76"/>
      <c r="IEP1365" s="76"/>
      <c r="IEQ1365" s="76"/>
      <c r="IER1365" s="76"/>
      <c r="IES1365" s="76"/>
      <c r="IET1365" s="76"/>
      <c r="IEU1365" s="76"/>
      <c r="IEV1365" s="76"/>
      <c r="IEW1365" s="76"/>
      <c r="IEX1365" s="76"/>
      <c r="IEY1365" s="76"/>
      <c r="IEZ1365" s="76"/>
      <c r="IFA1365" s="76"/>
      <c r="IFB1365" s="76"/>
      <c r="IFC1365" s="76"/>
      <c r="IFD1365" s="76"/>
      <c r="IFE1365" s="76"/>
      <c r="IFF1365" s="76"/>
      <c r="IFG1365" s="76"/>
      <c r="IFH1365" s="76"/>
      <c r="IFI1365" s="76"/>
      <c r="IFJ1365" s="76"/>
      <c r="IFK1365" s="76"/>
      <c r="IFL1365" s="76"/>
      <c r="IFM1365" s="76"/>
      <c r="IFN1365" s="76"/>
      <c r="IFO1365" s="76"/>
      <c r="IFP1365" s="76"/>
      <c r="IFQ1365" s="76"/>
      <c r="IFR1365" s="76"/>
      <c r="IFS1365" s="76"/>
      <c r="IFT1365" s="76"/>
      <c r="IFU1365" s="76"/>
      <c r="IFV1365" s="76"/>
      <c r="IFW1365" s="76"/>
      <c r="IFX1365" s="76"/>
      <c r="IFY1365" s="76"/>
      <c r="IFZ1365" s="76"/>
      <c r="IGA1365" s="76"/>
      <c r="IGB1365" s="76"/>
      <c r="IGC1365" s="76"/>
      <c r="IGD1365" s="76"/>
      <c r="IGE1365" s="76"/>
      <c r="IGF1365" s="76"/>
      <c r="IGG1365" s="76"/>
      <c r="IGH1365" s="76"/>
      <c r="IGI1365" s="76"/>
      <c r="IGJ1365" s="76"/>
      <c r="IGK1365" s="76"/>
      <c r="IGL1365" s="76"/>
      <c r="IGM1365" s="76"/>
      <c r="IGN1365" s="76"/>
      <c r="IGO1365" s="76"/>
      <c r="IGP1365" s="76"/>
      <c r="IGQ1365" s="76"/>
      <c r="IGR1365" s="76"/>
      <c r="IGS1365" s="76"/>
      <c r="IGT1365" s="76"/>
      <c r="IGU1365" s="76"/>
      <c r="IGV1365" s="76"/>
      <c r="IGW1365" s="76"/>
      <c r="IGX1365" s="76"/>
      <c r="IGY1365" s="76"/>
      <c r="IGZ1365" s="76"/>
      <c r="IHA1365" s="76"/>
      <c r="IHB1365" s="76"/>
      <c r="IHC1365" s="76"/>
      <c r="IHD1365" s="76"/>
      <c r="IHE1365" s="76"/>
      <c r="IHF1365" s="76"/>
      <c r="IHG1365" s="76"/>
      <c r="IHH1365" s="76"/>
      <c r="IHI1365" s="76"/>
      <c r="IHJ1365" s="76"/>
      <c r="IHK1365" s="76"/>
      <c r="IHL1365" s="76"/>
      <c r="IHM1365" s="76"/>
      <c r="IHN1365" s="76"/>
      <c r="IHO1365" s="76"/>
      <c r="IHP1365" s="76"/>
      <c r="IHQ1365" s="76"/>
      <c r="IHR1365" s="76"/>
      <c r="IHS1365" s="76"/>
      <c r="IHT1365" s="76"/>
      <c r="IHU1365" s="76"/>
      <c r="IHV1365" s="76"/>
      <c r="IHW1365" s="76"/>
      <c r="IHX1365" s="76"/>
      <c r="IHY1365" s="76"/>
      <c r="IHZ1365" s="76"/>
      <c r="IIA1365" s="76"/>
      <c r="IIB1365" s="76"/>
      <c r="IIC1365" s="76"/>
      <c r="IID1365" s="76"/>
      <c r="IIE1365" s="76"/>
      <c r="IIF1365" s="76"/>
      <c r="IIG1365" s="76"/>
      <c r="IIH1365" s="76"/>
      <c r="III1365" s="76"/>
      <c r="IIJ1365" s="76"/>
      <c r="IIK1365" s="76"/>
      <c r="IIL1365" s="76"/>
      <c r="IIM1365" s="76"/>
      <c r="IIN1365" s="76"/>
      <c r="IIO1365" s="76"/>
      <c r="IIP1365" s="76"/>
      <c r="IIQ1365" s="76"/>
      <c r="IIR1365" s="76"/>
      <c r="IIS1365" s="76"/>
      <c r="IIT1365" s="76"/>
      <c r="IIU1365" s="76"/>
      <c r="IIV1365" s="76"/>
      <c r="IIW1365" s="76"/>
      <c r="IIX1365" s="76"/>
      <c r="IIY1365" s="76"/>
      <c r="IIZ1365" s="76"/>
      <c r="IJA1365" s="76"/>
      <c r="IJB1365" s="76"/>
      <c r="IJC1365" s="76"/>
      <c r="IJD1365" s="76"/>
      <c r="IJE1365" s="76"/>
      <c r="IJF1365" s="76"/>
      <c r="IJG1365" s="76"/>
      <c r="IJH1365" s="76"/>
      <c r="IJI1365" s="76"/>
      <c r="IJJ1365" s="76"/>
      <c r="IJK1365" s="76"/>
      <c r="IJL1365" s="76"/>
      <c r="IJM1365" s="76"/>
      <c r="IJN1365" s="76"/>
      <c r="IJO1365" s="76"/>
      <c r="IJP1365" s="76"/>
      <c r="IJQ1365" s="76"/>
      <c r="IJR1365" s="76"/>
      <c r="IJS1365" s="76"/>
      <c r="IJT1365" s="76"/>
      <c r="IJU1365" s="76"/>
      <c r="IJV1365" s="76"/>
      <c r="IJW1365" s="76"/>
      <c r="IJX1365" s="76"/>
      <c r="IJY1365" s="76"/>
      <c r="IJZ1365" s="76"/>
      <c r="IKA1365" s="76"/>
      <c r="IKB1365" s="76"/>
      <c r="IKC1365" s="76"/>
      <c r="IKD1365" s="76"/>
      <c r="IKE1365" s="76"/>
      <c r="IKF1365" s="76"/>
      <c r="IKG1365" s="76"/>
      <c r="IKH1365" s="76"/>
      <c r="IKI1365" s="76"/>
      <c r="IKJ1365" s="76"/>
      <c r="IKK1365" s="76"/>
      <c r="IKL1365" s="76"/>
      <c r="IKM1365" s="76"/>
      <c r="IKN1365" s="76"/>
      <c r="IKO1365" s="76"/>
      <c r="IKP1365" s="76"/>
      <c r="IKQ1365" s="76"/>
      <c r="IKR1365" s="76"/>
      <c r="IKS1365" s="76"/>
      <c r="IKT1365" s="76"/>
      <c r="IKU1365" s="76"/>
      <c r="IKV1365" s="76"/>
      <c r="IKW1365" s="76"/>
      <c r="IKX1365" s="76"/>
      <c r="IKY1365" s="76"/>
      <c r="IKZ1365" s="76"/>
      <c r="ILA1365" s="76"/>
      <c r="ILB1365" s="76"/>
      <c r="ILC1365" s="76"/>
      <c r="ILD1365" s="76"/>
      <c r="ILE1365" s="76"/>
      <c r="ILF1365" s="76"/>
      <c r="ILG1365" s="76"/>
      <c r="ILH1365" s="76"/>
      <c r="ILI1365" s="50"/>
      <c r="ILJ1365" s="76"/>
      <c r="ILK1365" s="76"/>
      <c r="ILL1365" s="76"/>
      <c r="ILM1365" s="76"/>
      <c r="ILN1365" s="76"/>
      <c r="ILO1365" s="76"/>
      <c r="ILP1365" s="76"/>
      <c r="ILQ1365" s="76"/>
      <c r="ILR1365" s="76"/>
      <c r="ILS1365" s="76"/>
      <c r="ILT1365" s="76"/>
      <c r="ILU1365" s="76"/>
      <c r="ILV1365" s="76"/>
      <c r="ILW1365" s="76"/>
      <c r="ILX1365" s="76"/>
      <c r="ILY1365" s="76"/>
      <c r="ILZ1365" s="76"/>
      <c r="IMA1365" s="76"/>
      <c r="IMB1365" s="76"/>
      <c r="IMC1365" s="76"/>
      <c r="IMD1365" s="76"/>
      <c r="IME1365" s="76"/>
      <c r="IMF1365" s="76"/>
      <c r="IMG1365" s="76"/>
      <c r="IMH1365" s="76"/>
      <c r="IMI1365" s="76"/>
      <c r="IMJ1365" s="76"/>
      <c r="IMK1365" s="76"/>
      <c r="IML1365" s="76"/>
      <c r="IMM1365" s="76"/>
      <c r="IMN1365" s="76"/>
      <c r="IMO1365" s="76"/>
      <c r="IMP1365" s="76"/>
      <c r="IMQ1365" s="76"/>
      <c r="IMR1365" s="76"/>
      <c r="IMS1365" s="76"/>
      <c r="IMT1365" s="76"/>
      <c r="IMU1365" s="76"/>
      <c r="IMV1365" s="76"/>
      <c r="IMW1365" s="76"/>
      <c r="IMX1365" s="76"/>
      <c r="IMY1365" s="76"/>
      <c r="IMZ1365" s="76"/>
      <c r="INA1365" s="76"/>
      <c r="INB1365" s="76"/>
      <c r="INC1365" s="76"/>
      <c r="IND1365" s="76"/>
      <c r="INE1365" s="76"/>
      <c r="INF1365" s="76"/>
      <c r="ING1365" s="76"/>
      <c r="INH1365" s="76"/>
      <c r="INI1365" s="76"/>
      <c r="INJ1365" s="76"/>
      <c r="INK1365" s="76"/>
      <c r="INL1365" s="76"/>
      <c r="INM1365" s="76"/>
      <c r="INN1365" s="76"/>
      <c r="INO1365" s="76"/>
      <c r="INP1365" s="76"/>
      <c r="INQ1365" s="76"/>
      <c r="INR1365" s="76"/>
      <c r="INS1365" s="76"/>
      <c r="INT1365" s="76"/>
      <c r="INU1365" s="76"/>
      <c r="INV1365" s="76"/>
      <c r="INW1365" s="76"/>
      <c r="INX1365" s="76"/>
      <c r="INY1365" s="76"/>
      <c r="INZ1365" s="76"/>
      <c r="IOA1365" s="76"/>
      <c r="IOB1365" s="76"/>
      <c r="IOC1365" s="76"/>
      <c r="IOD1365" s="76"/>
      <c r="IOE1365" s="76"/>
      <c r="IOF1365" s="76"/>
      <c r="IOG1365" s="76"/>
      <c r="IOH1365" s="76"/>
      <c r="IOI1365" s="76"/>
      <c r="IOJ1365" s="76"/>
      <c r="IOK1365" s="76"/>
      <c r="IOL1365" s="76"/>
      <c r="IOM1365" s="76"/>
      <c r="ION1365" s="76"/>
      <c r="IOO1365" s="76"/>
      <c r="IOP1365" s="76"/>
      <c r="IOQ1365" s="76"/>
      <c r="IOR1365" s="76"/>
      <c r="IOS1365" s="76"/>
      <c r="IOT1365" s="76"/>
      <c r="IOU1365" s="76"/>
      <c r="IOV1365" s="76"/>
      <c r="IOW1365" s="76"/>
      <c r="IOX1365" s="76"/>
      <c r="IOY1365" s="76"/>
      <c r="IOZ1365" s="76"/>
      <c r="IPA1365" s="76"/>
      <c r="IPB1365" s="76"/>
      <c r="IPC1365" s="76"/>
      <c r="IPD1365" s="76"/>
      <c r="IPE1365" s="76"/>
      <c r="IPF1365" s="76"/>
      <c r="IPG1365" s="76"/>
      <c r="IPH1365" s="76"/>
      <c r="IPI1365" s="76"/>
      <c r="IPJ1365" s="76"/>
      <c r="IPK1365" s="76"/>
      <c r="IPL1365" s="76"/>
      <c r="IPM1365" s="76"/>
      <c r="IPN1365" s="76"/>
      <c r="IPO1365" s="76"/>
      <c r="IPP1365" s="76"/>
      <c r="IPQ1365" s="76"/>
      <c r="IPR1365" s="76"/>
      <c r="IPS1365" s="76"/>
      <c r="IPT1365" s="76"/>
      <c r="IPU1365" s="76"/>
      <c r="IPV1365" s="76"/>
      <c r="IPW1365" s="76"/>
      <c r="IPX1365" s="76"/>
      <c r="IPY1365" s="76"/>
      <c r="IPZ1365" s="76"/>
      <c r="IQA1365" s="76"/>
      <c r="IQB1365" s="76"/>
      <c r="IQC1365" s="76"/>
      <c r="IQD1365" s="76"/>
      <c r="IQE1365" s="76"/>
      <c r="IQF1365" s="76"/>
      <c r="IQG1365" s="76"/>
      <c r="IQH1365" s="76"/>
      <c r="IQI1365" s="76"/>
      <c r="IQJ1365" s="76"/>
      <c r="IQK1365" s="76"/>
      <c r="IQL1365" s="76"/>
      <c r="IQM1365" s="76"/>
      <c r="IQN1365" s="76"/>
      <c r="IQO1365" s="76"/>
      <c r="IQP1365" s="76"/>
      <c r="IQQ1365" s="76"/>
      <c r="IQR1365" s="76"/>
      <c r="IQS1365" s="76"/>
      <c r="IQT1365" s="76"/>
      <c r="IQU1365" s="76"/>
      <c r="IQV1365" s="76"/>
      <c r="IQW1365" s="76"/>
      <c r="IQX1365" s="76"/>
      <c r="IQY1365" s="76"/>
      <c r="IQZ1365" s="76"/>
      <c r="IRA1365" s="76"/>
      <c r="IRB1365" s="76"/>
      <c r="IRC1365" s="76"/>
      <c r="IRD1365" s="76"/>
      <c r="IRE1365" s="76"/>
      <c r="IRF1365" s="76"/>
      <c r="IRG1365" s="76"/>
      <c r="IRH1365" s="76"/>
      <c r="IRI1365" s="76"/>
      <c r="IRJ1365" s="76"/>
      <c r="IRK1365" s="76"/>
      <c r="IRL1365" s="76"/>
      <c r="IRM1365" s="76"/>
      <c r="IRN1365" s="76"/>
      <c r="IRO1365" s="76"/>
      <c r="IRP1365" s="76"/>
      <c r="IRQ1365" s="76"/>
      <c r="IRR1365" s="76"/>
      <c r="IRS1365" s="76"/>
      <c r="IRT1365" s="76"/>
      <c r="IRU1365" s="76"/>
      <c r="IRV1365" s="76"/>
      <c r="IRW1365" s="76"/>
      <c r="IRX1365" s="76"/>
      <c r="IRY1365" s="76"/>
      <c r="IRZ1365" s="76"/>
      <c r="ISA1365" s="76"/>
      <c r="ISB1365" s="76"/>
      <c r="ISC1365" s="76"/>
      <c r="ISD1365" s="76"/>
      <c r="ISE1365" s="76"/>
      <c r="ISF1365" s="76"/>
      <c r="ISG1365" s="76"/>
      <c r="ISH1365" s="76"/>
      <c r="ISI1365" s="76"/>
      <c r="ISJ1365" s="76"/>
      <c r="ISK1365" s="76"/>
      <c r="ISL1365" s="76"/>
      <c r="ISM1365" s="76"/>
      <c r="ISN1365" s="76"/>
      <c r="ISO1365" s="76"/>
      <c r="ISP1365" s="76"/>
      <c r="ISQ1365" s="76"/>
      <c r="ISR1365" s="76"/>
      <c r="ISS1365" s="76"/>
      <c r="IST1365" s="76"/>
      <c r="ISU1365" s="76"/>
      <c r="ISV1365" s="76"/>
      <c r="ISW1365" s="76"/>
      <c r="ISX1365" s="76"/>
      <c r="ISY1365" s="76"/>
      <c r="ISZ1365" s="76"/>
      <c r="ITA1365" s="76"/>
      <c r="ITB1365" s="76"/>
      <c r="ITC1365" s="76"/>
      <c r="ITD1365" s="76"/>
      <c r="ITE1365" s="76"/>
      <c r="ITF1365" s="76"/>
      <c r="ITG1365" s="76"/>
      <c r="ITH1365" s="76"/>
      <c r="ITI1365" s="76"/>
      <c r="ITJ1365" s="76"/>
      <c r="ITK1365" s="76"/>
      <c r="ITL1365" s="76"/>
      <c r="ITM1365" s="76"/>
      <c r="ITN1365" s="76"/>
      <c r="ITO1365" s="76"/>
      <c r="ITP1365" s="76"/>
      <c r="ITQ1365" s="76"/>
      <c r="ITR1365" s="76"/>
      <c r="ITS1365" s="76"/>
      <c r="ITT1365" s="76"/>
      <c r="ITU1365" s="76"/>
      <c r="ITV1365" s="76"/>
      <c r="ITW1365" s="76"/>
      <c r="ITX1365" s="76"/>
      <c r="ITY1365" s="76"/>
      <c r="ITZ1365" s="76"/>
      <c r="IUA1365" s="76"/>
      <c r="IUB1365" s="76"/>
      <c r="IUC1365" s="76"/>
      <c r="IUD1365" s="76"/>
      <c r="IUE1365" s="76"/>
      <c r="IUF1365" s="76"/>
      <c r="IUG1365" s="76"/>
      <c r="IUH1365" s="76"/>
      <c r="IUI1365" s="76"/>
      <c r="IUJ1365" s="76"/>
      <c r="IUK1365" s="76"/>
      <c r="IUL1365" s="76"/>
      <c r="IUM1365" s="76"/>
      <c r="IUN1365" s="76"/>
      <c r="IUO1365" s="76"/>
      <c r="IUP1365" s="76"/>
      <c r="IUQ1365" s="76"/>
      <c r="IUR1365" s="76"/>
      <c r="IUS1365" s="76"/>
      <c r="IUT1365" s="76"/>
      <c r="IUU1365" s="76"/>
      <c r="IUV1365" s="76"/>
      <c r="IUW1365" s="76"/>
      <c r="IUX1365" s="76"/>
      <c r="IUY1365" s="76"/>
      <c r="IUZ1365" s="76"/>
      <c r="IVA1365" s="76"/>
      <c r="IVB1365" s="76"/>
      <c r="IVC1365" s="76"/>
      <c r="IVD1365" s="76"/>
      <c r="IVE1365" s="50"/>
      <c r="IVF1365" s="76"/>
      <c r="IVG1365" s="76"/>
      <c r="IVH1365" s="76"/>
      <c r="IVI1365" s="76"/>
      <c r="IVJ1365" s="76"/>
      <c r="IVK1365" s="76"/>
      <c r="IVL1365" s="76"/>
      <c r="IVM1365" s="76"/>
      <c r="IVN1365" s="76"/>
      <c r="IVO1365" s="76"/>
      <c r="IVP1365" s="76"/>
      <c r="IVQ1365" s="76"/>
      <c r="IVR1365" s="76"/>
      <c r="IVS1365" s="76"/>
      <c r="IVT1365" s="76"/>
      <c r="IVU1365" s="76"/>
      <c r="IVV1365" s="76"/>
      <c r="IVW1365" s="76"/>
      <c r="IVX1365" s="76"/>
      <c r="IVY1365" s="76"/>
      <c r="IVZ1365" s="76"/>
      <c r="IWA1365" s="76"/>
      <c r="IWB1365" s="76"/>
      <c r="IWC1365" s="76"/>
      <c r="IWD1365" s="76"/>
      <c r="IWE1365" s="76"/>
      <c r="IWF1365" s="76"/>
      <c r="IWG1365" s="76"/>
      <c r="IWH1365" s="76"/>
      <c r="IWI1365" s="76"/>
      <c r="IWJ1365" s="76"/>
      <c r="IWK1365" s="76"/>
      <c r="IWL1365" s="76"/>
      <c r="IWM1365" s="76"/>
      <c r="IWN1365" s="76"/>
      <c r="IWO1365" s="76"/>
      <c r="IWP1365" s="76"/>
      <c r="IWQ1365" s="76"/>
      <c r="IWR1365" s="76"/>
      <c r="IWS1365" s="76"/>
      <c r="IWT1365" s="76"/>
      <c r="IWU1365" s="76"/>
      <c r="IWV1365" s="76"/>
      <c r="IWW1365" s="76"/>
      <c r="IWX1365" s="76"/>
      <c r="IWY1365" s="76"/>
      <c r="IWZ1365" s="76"/>
      <c r="IXA1365" s="76"/>
      <c r="IXB1365" s="76"/>
      <c r="IXC1365" s="76"/>
      <c r="IXD1365" s="76"/>
      <c r="IXE1365" s="76"/>
      <c r="IXF1365" s="76"/>
      <c r="IXG1365" s="76"/>
      <c r="IXH1365" s="76"/>
      <c r="IXI1365" s="76"/>
      <c r="IXJ1365" s="76"/>
      <c r="IXK1365" s="76"/>
      <c r="IXL1365" s="76"/>
      <c r="IXM1365" s="76"/>
      <c r="IXN1365" s="76"/>
      <c r="IXO1365" s="76"/>
      <c r="IXP1365" s="76"/>
      <c r="IXQ1365" s="76"/>
      <c r="IXR1365" s="76"/>
      <c r="IXS1365" s="76"/>
      <c r="IXT1365" s="76"/>
      <c r="IXU1365" s="76"/>
      <c r="IXV1365" s="76"/>
      <c r="IXW1365" s="76"/>
      <c r="IXX1365" s="76"/>
      <c r="IXY1365" s="76"/>
      <c r="IXZ1365" s="76"/>
      <c r="IYA1365" s="76"/>
      <c r="IYB1365" s="76"/>
      <c r="IYC1365" s="76"/>
      <c r="IYD1365" s="76"/>
      <c r="IYE1365" s="76"/>
      <c r="IYF1365" s="76"/>
      <c r="IYG1365" s="76"/>
      <c r="IYH1365" s="76"/>
      <c r="IYI1365" s="76"/>
      <c r="IYJ1365" s="76"/>
      <c r="IYK1365" s="76"/>
      <c r="IYL1365" s="76"/>
      <c r="IYM1365" s="76"/>
      <c r="IYN1365" s="76"/>
      <c r="IYO1365" s="76"/>
      <c r="IYP1365" s="76"/>
      <c r="IYQ1365" s="76"/>
      <c r="IYR1365" s="76"/>
      <c r="IYS1365" s="76"/>
      <c r="IYT1365" s="76"/>
      <c r="IYU1365" s="76"/>
      <c r="IYV1365" s="76"/>
      <c r="IYW1365" s="76"/>
      <c r="IYX1365" s="76"/>
      <c r="IYY1365" s="76"/>
      <c r="IYZ1365" s="76"/>
      <c r="IZA1365" s="76"/>
      <c r="IZB1365" s="76"/>
      <c r="IZC1365" s="76"/>
      <c r="IZD1365" s="76"/>
      <c r="IZE1365" s="76"/>
      <c r="IZF1365" s="76"/>
      <c r="IZG1365" s="76"/>
      <c r="IZH1365" s="76"/>
      <c r="IZI1365" s="76"/>
      <c r="IZJ1365" s="76"/>
      <c r="IZK1365" s="76"/>
      <c r="IZL1365" s="76"/>
      <c r="IZM1365" s="76"/>
      <c r="IZN1365" s="76"/>
      <c r="IZO1365" s="76"/>
      <c r="IZP1365" s="76"/>
      <c r="IZQ1365" s="76"/>
      <c r="IZR1365" s="76"/>
      <c r="IZS1365" s="76"/>
      <c r="IZT1365" s="76"/>
      <c r="IZU1365" s="76"/>
      <c r="IZV1365" s="76"/>
      <c r="IZW1365" s="76"/>
      <c r="IZX1365" s="76"/>
      <c r="IZY1365" s="76"/>
      <c r="IZZ1365" s="76"/>
      <c r="JAA1365" s="76"/>
      <c r="JAB1365" s="76"/>
      <c r="JAC1365" s="76"/>
      <c r="JAD1365" s="76"/>
      <c r="JAE1365" s="76"/>
      <c r="JAF1365" s="76"/>
      <c r="JAG1365" s="76"/>
      <c r="JAH1365" s="76"/>
      <c r="JAI1365" s="76"/>
      <c r="JAJ1365" s="76"/>
      <c r="JAK1365" s="76"/>
      <c r="JAL1365" s="76"/>
      <c r="JAM1365" s="76"/>
      <c r="JAN1365" s="76"/>
      <c r="JAO1365" s="76"/>
      <c r="JAP1365" s="76"/>
      <c r="JAQ1365" s="76"/>
      <c r="JAR1365" s="76"/>
      <c r="JAS1365" s="76"/>
      <c r="JAT1365" s="76"/>
      <c r="JAU1365" s="76"/>
      <c r="JAV1365" s="76"/>
      <c r="JAW1365" s="76"/>
      <c r="JAX1365" s="76"/>
      <c r="JAY1365" s="76"/>
      <c r="JAZ1365" s="76"/>
      <c r="JBA1365" s="76"/>
      <c r="JBB1365" s="76"/>
      <c r="JBC1365" s="76"/>
      <c r="JBD1365" s="76"/>
      <c r="JBE1365" s="76"/>
      <c r="JBF1365" s="76"/>
      <c r="JBG1365" s="76"/>
      <c r="JBH1365" s="76"/>
      <c r="JBI1365" s="76"/>
      <c r="JBJ1365" s="76"/>
      <c r="JBK1365" s="76"/>
      <c r="JBL1365" s="76"/>
      <c r="JBM1365" s="76"/>
      <c r="JBN1365" s="76"/>
      <c r="JBO1365" s="76"/>
      <c r="JBP1365" s="76"/>
      <c r="JBQ1365" s="76"/>
      <c r="JBR1365" s="76"/>
      <c r="JBS1365" s="76"/>
      <c r="JBT1365" s="76"/>
      <c r="JBU1365" s="76"/>
      <c r="JBV1365" s="76"/>
      <c r="JBW1365" s="76"/>
      <c r="JBX1365" s="76"/>
      <c r="JBY1365" s="76"/>
      <c r="JBZ1365" s="76"/>
      <c r="JCA1365" s="76"/>
      <c r="JCB1365" s="76"/>
      <c r="JCC1365" s="76"/>
      <c r="JCD1365" s="76"/>
      <c r="JCE1365" s="76"/>
      <c r="JCF1365" s="76"/>
      <c r="JCG1365" s="76"/>
      <c r="JCH1365" s="76"/>
      <c r="JCI1365" s="76"/>
      <c r="JCJ1365" s="76"/>
      <c r="JCK1365" s="76"/>
      <c r="JCL1365" s="76"/>
      <c r="JCM1365" s="76"/>
      <c r="JCN1365" s="76"/>
      <c r="JCO1365" s="76"/>
      <c r="JCP1365" s="76"/>
      <c r="JCQ1365" s="76"/>
      <c r="JCR1365" s="76"/>
      <c r="JCS1365" s="76"/>
      <c r="JCT1365" s="76"/>
      <c r="JCU1365" s="76"/>
      <c r="JCV1365" s="76"/>
      <c r="JCW1365" s="76"/>
      <c r="JCX1365" s="76"/>
      <c r="JCY1365" s="76"/>
      <c r="JCZ1365" s="76"/>
      <c r="JDA1365" s="76"/>
      <c r="JDB1365" s="76"/>
      <c r="JDC1365" s="76"/>
      <c r="JDD1365" s="76"/>
      <c r="JDE1365" s="76"/>
      <c r="JDF1365" s="76"/>
      <c r="JDG1365" s="76"/>
      <c r="JDH1365" s="76"/>
      <c r="JDI1365" s="76"/>
      <c r="JDJ1365" s="76"/>
      <c r="JDK1365" s="76"/>
      <c r="JDL1365" s="76"/>
      <c r="JDM1365" s="76"/>
      <c r="JDN1365" s="76"/>
      <c r="JDO1365" s="76"/>
      <c r="JDP1365" s="76"/>
      <c r="JDQ1365" s="76"/>
      <c r="JDR1365" s="76"/>
      <c r="JDS1365" s="76"/>
      <c r="JDT1365" s="76"/>
      <c r="JDU1365" s="76"/>
      <c r="JDV1365" s="76"/>
      <c r="JDW1365" s="76"/>
      <c r="JDX1365" s="76"/>
      <c r="JDY1365" s="76"/>
      <c r="JDZ1365" s="76"/>
      <c r="JEA1365" s="76"/>
      <c r="JEB1365" s="76"/>
      <c r="JEC1365" s="76"/>
      <c r="JED1365" s="76"/>
      <c r="JEE1365" s="76"/>
      <c r="JEF1365" s="76"/>
      <c r="JEG1365" s="76"/>
      <c r="JEH1365" s="76"/>
      <c r="JEI1365" s="76"/>
      <c r="JEJ1365" s="76"/>
      <c r="JEK1365" s="76"/>
      <c r="JEL1365" s="76"/>
      <c r="JEM1365" s="76"/>
      <c r="JEN1365" s="76"/>
      <c r="JEO1365" s="76"/>
      <c r="JEP1365" s="76"/>
      <c r="JEQ1365" s="76"/>
      <c r="JER1365" s="76"/>
      <c r="JES1365" s="76"/>
      <c r="JET1365" s="76"/>
      <c r="JEU1365" s="76"/>
      <c r="JEV1365" s="76"/>
      <c r="JEW1365" s="76"/>
      <c r="JEX1365" s="76"/>
      <c r="JEY1365" s="76"/>
      <c r="JEZ1365" s="76"/>
      <c r="JFA1365" s="50"/>
      <c r="JFB1365" s="76"/>
      <c r="JFC1365" s="76"/>
      <c r="JFD1365" s="76"/>
      <c r="JFE1365" s="76"/>
      <c r="JFF1365" s="76"/>
      <c r="JFG1365" s="76"/>
      <c r="JFH1365" s="76"/>
      <c r="JFI1365" s="76"/>
      <c r="JFJ1365" s="76"/>
      <c r="JFK1365" s="76"/>
      <c r="JFL1365" s="76"/>
      <c r="JFM1365" s="76"/>
      <c r="JFN1365" s="76"/>
      <c r="JFO1365" s="76"/>
      <c r="JFP1365" s="76"/>
      <c r="JFQ1365" s="76"/>
      <c r="JFR1365" s="76"/>
      <c r="JFS1365" s="76"/>
      <c r="JFT1365" s="76"/>
      <c r="JFU1365" s="76"/>
      <c r="JFV1365" s="76"/>
      <c r="JFW1365" s="76"/>
      <c r="JFX1365" s="76"/>
      <c r="JFY1365" s="76"/>
      <c r="JFZ1365" s="76"/>
      <c r="JGA1365" s="76"/>
      <c r="JGB1365" s="76"/>
      <c r="JGC1365" s="76"/>
      <c r="JGD1365" s="76"/>
      <c r="JGE1365" s="76"/>
      <c r="JGF1365" s="76"/>
      <c r="JGG1365" s="76"/>
      <c r="JGH1365" s="76"/>
      <c r="JGI1365" s="76"/>
      <c r="JGJ1365" s="76"/>
      <c r="JGK1365" s="76"/>
      <c r="JGL1365" s="76"/>
      <c r="JGM1365" s="76"/>
      <c r="JGN1365" s="76"/>
      <c r="JGO1365" s="76"/>
      <c r="JGP1365" s="76"/>
      <c r="JGQ1365" s="76"/>
      <c r="JGR1365" s="76"/>
      <c r="JGS1365" s="76"/>
      <c r="JGT1365" s="76"/>
      <c r="JGU1365" s="76"/>
      <c r="JGV1365" s="76"/>
      <c r="JGW1365" s="76"/>
      <c r="JGX1365" s="76"/>
      <c r="JGY1365" s="76"/>
      <c r="JGZ1365" s="76"/>
      <c r="JHA1365" s="76"/>
      <c r="JHB1365" s="76"/>
      <c r="JHC1365" s="76"/>
      <c r="JHD1365" s="76"/>
      <c r="JHE1365" s="76"/>
      <c r="JHF1365" s="76"/>
      <c r="JHG1365" s="76"/>
      <c r="JHH1365" s="76"/>
      <c r="JHI1365" s="76"/>
      <c r="JHJ1365" s="76"/>
      <c r="JHK1365" s="76"/>
      <c r="JHL1365" s="76"/>
      <c r="JHM1365" s="76"/>
      <c r="JHN1365" s="76"/>
      <c r="JHO1365" s="76"/>
      <c r="JHP1365" s="76"/>
      <c r="JHQ1365" s="76"/>
      <c r="JHR1365" s="76"/>
      <c r="JHS1365" s="76"/>
      <c r="JHT1365" s="76"/>
      <c r="JHU1365" s="76"/>
      <c r="JHV1365" s="76"/>
      <c r="JHW1365" s="76"/>
      <c r="JHX1365" s="76"/>
      <c r="JHY1365" s="76"/>
      <c r="JHZ1365" s="76"/>
      <c r="JIA1365" s="76"/>
      <c r="JIB1365" s="76"/>
      <c r="JIC1365" s="76"/>
      <c r="JID1365" s="76"/>
      <c r="JIE1365" s="76"/>
      <c r="JIF1365" s="76"/>
      <c r="JIG1365" s="76"/>
      <c r="JIH1365" s="76"/>
      <c r="JII1365" s="76"/>
      <c r="JIJ1365" s="76"/>
      <c r="JIK1365" s="76"/>
      <c r="JIL1365" s="76"/>
      <c r="JIM1365" s="76"/>
      <c r="JIN1365" s="76"/>
      <c r="JIO1365" s="76"/>
      <c r="JIP1365" s="76"/>
      <c r="JIQ1365" s="76"/>
      <c r="JIR1365" s="76"/>
      <c r="JIS1365" s="76"/>
      <c r="JIT1365" s="76"/>
      <c r="JIU1365" s="76"/>
      <c r="JIV1365" s="76"/>
      <c r="JIW1365" s="76"/>
      <c r="JIX1365" s="76"/>
      <c r="JIY1365" s="76"/>
      <c r="JIZ1365" s="76"/>
      <c r="JJA1365" s="76"/>
      <c r="JJB1365" s="76"/>
      <c r="JJC1365" s="76"/>
      <c r="JJD1365" s="76"/>
      <c r="JJE1365" s="76"/>
      <c r="JJF1365" s="76"/>
      <c r="JJG1365" s="76"/>
      <c r="JJH1365" s="76"/>
      <c r="JJI1365" s="76"/>
      <c r="JJJ1365" s="76"/>
      <c r="JJK1365" s="76"/>
      <c r="JJL1365" s="76"/>
      <c r="JJM1365" s="76"/>
      <c r="JJN1365" s="76"/>
      <c r="JJO1365" s="76"/>
      <c r="JJP1365" s="76"/>
      <c r="JJQ1365" s="76"/>
      <c r="JJR1365" s="76"/>
      <c r="JJS1365" s="76"/>
      <c r="JJT1365" s="76"/>
      <c r="JJU1365" s="76"/>
      <c r="JJV1365" s="76"/>
      <c r="JJW1365" s="76"/>
      <c r="JJX1365" s="76"/>
      <c r="JJY1365" s="76"/>
      <c r="JJZ1365" s="76"/>
      <c r="JKA1365" s="76"/>
      <c r="JKB1365" s="76"/>
      <c r="JKC1365" s="76"/>
      <c r="JKD1365" s="76"/>
      <c r="JKE1365" s="76"/>
      <c r="JKF1365" s="76"/>
      <c r="JKG1365" s="76"/>
      <c r="JKH1365" s="76"/>
      <c r="JKI1365" s="76"/>
      <c r="JKJ1365" s="76"/>
      <c r="JKK1365" s="76"/>
      <c r="JKL1365" s="76"/>
      <c r="JKM1365" s="76"/>
      <c r="JKN1365" s="76"/>
      <c r="JKO1365" s="76"/>
      <c r="JKP1365" s="76"/>
      <c r="JKQ1365" s="76"/>
      <c r="JKR1365" s="76"/>
      <c r="JKS1365" s="76"/>
      <c r="JKT1365" s="76"/>
      <c r="JKU1365" s="76"/>
      <c r="JKV1365" s="76"/>
      <c r="JKW1365" s="76"/>
      <c r="JKX1365" s="76"/>
      <c r="JKY1365" s="76"/>
      <c r="JKZ1365" s="76"/>
      <c r="JLA1365" s="76"/>
      <c r="JLB1365" s="76"/>
      <c r="JLC1365" s="76"/>
      <c r="JLD1365" s="76"/>
      <c r="JLE1365" s="76"/>
      <c r="JLF1365" s="76"/>
      <c r="JLG1365" s="76"/>
      <c r="JLH1365" s="76"/>
      <c r="JLI1365" s="76"/>
      <c r="JLJ1365" s="76"/>
      <c r="JLK1365" s="76"/>
      <c r="JLL1365" s="76"/>
      <c r="JLM1365" s="76"/>
      <c r="JLN1365" s="76"/>
      <c r="JLO1365" s="76"/>
      <c r="JLP1365" s="76"/>
      <c r="JLQ1365" s="76"/>
      <c r="JLR1365" s="76"/>
      <c r="JLS1365" s="76"/>
      <c r="JLT1365" s="76"/>
      <c r="JLU1365" s="76"/>
      <c r="JLV1365" s="76"/>
      <c r="JLW1365" s="76"/>
      <c r="JLX1365" s="76"/>
      <c r="JLY1365" s="76"/>
      <c r="JLZ1365" s="76"/>
      <c r="JMA1365" s="76"/>
      <c r="JMB1365" s="76"/>
      <c r="JMC1365" s="76"/>
      <c r="JMD1365" s="76"/>
      <c r="JME1365" s="76"/>
      <c r="JMF1365" s="76"/>
      <c r="JMG1365" s="76"/>
      <c r="JMH1365" s="76"/>
      <c r="JMI1365" s="76"/>
      <c r="JMJ1365" s="76"/>
      <c r="JMK1365" s="76"/>
      <c r="JML1365" s="76"/>
      <c r="JMM1365" s="76"/>
      <c r="JMN1365" s="76"/>
      <c r="JMO1365" s="76"/>
      <c r="JMP1365" s="76"/>
      <c r="JMQ1365" s="76"/>
      <c r="JMR1365" s="76"/>
      <c r="JMS1365" s="76"/>
      <c r="JMT1365" s="76"/>
      <c r="JMU1365" s="76"/>
      <c r="JMV1365" s="76"/>
      <c r="JMW1365" s="76"/>
      <c r="JMX1365" s="76"/>
      <c r="JMY1365" s="76"/>
      <c r="JMZ1365" s="76"/>
      <c r="JNA1365" s="76"/>
      <c r="JNB1365" s="76"/>
      <c r="JNC1365" s="76"/>
      <c r="JND1365" s="76"/>
      <c r="JNE1365" s="76"/>
      <c r="JNF1365" s="76"/>
      <c r="JNG1365" s="76"/>
      <c r="JNH1365" s="76"/>
      <c r="JNI1365" s="76"/>
      <c r="JNJ1365" s="76"/>
      <c r="JNK1365" s="76"/>
      <c r="JNL1365" s="76"/>
      <c r="JNM1365" s="76"/>
      <c r="JNN1365" s="76"/>
      <c r="JNO1365" s="76"/>
      <c r="JNP1365" s="76"/>
      <c r="JNQ1365" s="76"/>
      <c r="JNR1365" s="76"/>
      <c r="JNS1365" s="76"/>
      <c r="JNT1365" s="76"/>
      <c r="JNU1365" s="76"/>
      <c r="JNV1365" s="76"/>
      <c r="JNW1365" s="76"/>
      <c r="JNX1365" s="76"/>
      <c r="JNY1365" s="76"/>
      <c r="JNZ1365" s="76"/>
      <c r="JOA1365" s="76"/>
      <c r="JOB1365" s="76"/>
      <c r="JOC1365" s="76"/>
      <c r="JOD1365" s="76"/>
      <c r="JOE1365" s="76"/>
      <c r="JOF1365" s="76"/>
      <c r="JOG1365" s="76"/>
      <c r="JOH1365" s="76"/>
      <c r="JOI1365" s="76"/>
      <c r="JOJ1365" s="76"/>
      <c r="JOK1365" s="76"/>
      <c r="JOL1365" s="76"/>
      <c r="JOM1365" s="76"/>
      <c r="JON1365" s="76"/>
      <c r="JOO1365" s="76"/>
      <c r="JOP1365" s="76"/>
      <c r="JOQ1365" s="76"/>
      <c r="JOR1365" s="76"/>
      <c r="JOS1365" s="76"/>
      <c r="JOT1365" s="76"/>
      <c r="JOU1365" s="76"/>
      <c r="JOV1365" s="76"/>
      <c r="JOW1365" s="50"/>
      <c r="JOX1365" s="76"/>
      <c r="JOY1365" s="76"/>
      <c r="JOZ1365" s="76"/>
      <c r="JPA1365" s="76"/>
      <c r="JPB1365" s="76"/>
      <c r="JPC1365" s="76"/>
      <c r="JPD1365" s="76"/>
      <c r="JPE1365" s="76"/>
      <c r="JPF1365" s="76"/>
      <c r="JPG1365" s="76"/>
      <c r="JPH1365" s="76"/>
      <c r="JPI1365" s="76"/>
      <c r="JPJ1365" s="76"/>
      <c r="JPK1365" s="76"/>
      <c r="JPL1365" s="76"/>
      <c r="JPM1365" s="76"/>
      <c r="JPN1365" s="76"/>
      <c r="JPO1365" s="76"/>
      <c r="JPP1365" s="76"/>
      <c r="JPQ1365" s="76"/>
      <c r="JPR1365" s="76"/>
      <c r="JPS1365" s="76"/>
      <c r="JPT1365" s="76"/>
      <c r="JPU1365" s="76"/>
      <c r="JPV1365" s="76"/>
      <c r="JPW1365" s="76"/>
      <c r="JPX1365" s="76"/>
      <c r="JPY1365" s="76"/>
      <c r="JPZ1365" s="76"/>
      <c r="JQA1365" s="76"/>
      <c r="JQB1365" s="76"/>
      <c r="JQC1365" s="76"/>
      <c r="JQD1365" s="76"/>
      <c r="JQE1365" s="76"/>
      <c r="JQF1365" s="76"/>
      <c r="JQG1365" s="76"/>
      <c r="JQH1365" s="76"/>
      <c r="JQI1365" s="76"/>
      <c r="JQJ1365" s="76"/>
      <c r="JQK1365" s="76"/>
      <c r="JQL1365" s="76"/>
      <c r="JQM1365" s="76"/>
      <c r="JQN1365" s="76"/>
      <c r="JQO1365" s="76"/>
      <c r="JQP1365" s="76"/>
      <c r="JQQ1365" s="76"/>
      <c r="JQR1365" s="76"/>
      <c r="JQS1365" s="76"/>
      <c r="JQT1365" s="76"/>
      <c r="JQU1365" s="76"/>
      <c r="JQV1365" s="76"/>
      <c r="JQW1365" s="76"/>
      <c r="JQX1365" s="76"/>
      <c r="JQY1365" s="76"/>
      <c r="JQZ1365" s="76"/>
      <c r="JRA1365" s="76"/>
      <c r="JRB1365" s="76"/>
      <c r="JRC1365" s="76"/>
      <c r="JRD1365" s="76"/>
      <c r="JRE1365" s="76"/>
      <c r="JRF1365" s="76"/>
      <c r="JRG1365" s="76"/>
      <c r="JRH1365" s="76"/>
      <c r="JRI1365" s="76"/>
      <c r="JRJ1365" s="76"/>
      <c r="JRK1365" s="76"/>
      <c r="JRL1365" s="76"/>
      <c r="JRM1365" s="76"/>
      <c r="JRN1365" s="76"/>
      <c r="JRO1365" s="76"/>
      <c r="JRP1365" s="76"/>
      <c r="JRQ1365" s="76"/>
      <c r="JRR1365" s="76"/>
      <c r="JRS1365" s="76"/>
      <c r="JRT1365" s="76"/>
      <c r="JRU1365" s="76"/>
      <c r="JRV1365" s="76"/>
      <c r="JRW1365" s="76"/>
      <c r="JRX1365" s="76"/>
      <c r="JRY1365" s="76"/>
      <c r="JRZ1365" s="76"/>
      <c r="JSA1365" s="76"/>
      <c r="JSB1365" s="76"/>
      <c r="JSC1365" s="76"/>
      <c r="JSD1365" s="76"/>
      <c r="JSE1365" s="76"/>
      <c r="JSF1365" s="76"/>
      <c r="JSG1365" s="76"/>
      <c r="JSH1365" s="76"/>
      <c r="JSI1365" s="76"/>
      <c r="JSJ1365" s="76"/>
      <c r="JSK1365" s="76"/>
      <c r="JSL1365" s="76"/>
      <c r="JSM1365" s="76"/>
      <c r="JSN1365" s="76"/>
      <c r="JSO1365" s="76"/>
      <c r="JSP1365" s="76"/>
      <c r="JSQ1365" s="76"/>
      <c r="JSR1365" s="76"/>
      <c r="JSS1365" s="76"/>
      <c r="JST1365" s="76"/>
      <c r="JSU1365" s="76"/>
      <c r="JSV1365" s="76"/>
      <c r="JSW1365" s="76"/>
      <c r="JSX1365" s="76"/>
      <c r="JSY1365" s="76"/>
      <c r="JSZ1365" s="76"/>
      <c r="JTA1365" s="76"/>
      <c r="JTB1365" s="76"/>
      <c r="JTC1365" s="76"/>
      <c r="JTD1365" s="76"/>
      <c r="JTE1365" s="76"/>
      <c r="JTF1365" s="76"/>
      <c r="JTG1365" s="76"/>
      <c r="JTH1365" s="76"/>
      <c r="JTI1365" s="76"/>
      <c r="JTJ1365" s="76"/>
      <c r="JTK1365" s="76"/>
      <c r="JTL1365" s="76"/>
      <c r="JTM1365" s="76"/>
      <c r="JTN1365" s="76"/>
      <c r="JTO1365" s="76"/>
      <c r="JTP1365" s="76"/>
      <c r="JTQ1365" s="76"/>
      <c r="JTR1365" s="76"/>
      <c r="JTS1365" s="76"/>
      <c r="JTT1365" s="76"/>
      <c r="JTU1365" s="76"/>
      <c r="JTV1365" s="76"/>
      <c r="JTW1365" s="76"/>
      <c r="JTX1365" s="76"/>
      <c r="JTY1365" s="76"/>
      <c r="JTZ1365" s="76"/>
      <c r="JUA1365" s="76"/>
      <c r="JUB1365" s="76"/>
      <c r="JUC1365" s="76"/>
      <c r="JUD1365" s="76"/>
      <c r="JUE1365" s="76"/>
      <c r="JUF1365" s="76"/>
      <c r="JUG1365" s="76"/>
      <c r="JUH1365" s="76"/>
      <c r="JUI1365" s="76"/>
      <c r="JUJ1365" s="76"/>
      <c r="JUK1365" s="76"/>
      <c r="JUL1365" s="76"/>
      <c r="JUM1365" s="76"/>
      <c r="JUN1365" s="76"/>
      <c r="JUO1365" s="76"/>
      <c r="JUP1365" s="76"/>
      <c r="JUQ1365" s="76"/>
      <c r="JUR1365" s="76"/>
      <c r="JUS1365" s="76"/>
      <c r="JUT1365" s="76"/>
      <c r="JUU1365" s="76"/>
      <c r="JUV1365" s="76"/>
      <c r="JUW1365" s="76"/>
      <c r="JUX1365" s="76"/>
      <c r="JUY1365" s="76"/>
      <c r="JUZ1365" s="76"/>
      <c r="JVA1365" s="76"/>
      <c r="JVB1365" s="76"/>
      <c r="JVC1365" s="76"/>
      <c r="JVD1365" s="76"/>
      <c r="JVE1365" s="76"/>
      <c r="JVF1365" s="76"/>
      <c r="JVG1365" s="76"/>
      <c r="JVH1365" s="76"/>
      <c r="JVI1365" s="76"/>
      <c r="JVJ1365" s="76"/>
      <c r="JVK1365" s="76"/>
      <c r="JVL1365" s="76"/>
      <c r="JVM1365" s="76"/>
      <c r="JVN1365" s="76"/>
      <c r="JVO1365" s="76"/>
      <c r="JVP1365" s="76"/>
      <c r="JVQ1365" s="76"/>
      <c r="JVR1365" s="76"/>
      <c r="JVS1365" s="76"/>
      <c r="JVT1365" s="76"/>
      <c r="JVU1365" s="76"/>
      <c r="JVV1365" s="76"/>
      <c r="JVW1365" s="76"/>
      <c r="JVX1365" s="76"/>
      <c r="JVY1365" s="76"/>
      <c r="JVZ1365" s="76"/>
      <c r="JWA1365" s="76"/>
      <c r="JWB1365" s="76"/>
      <c r="JWC1365" s="76"/>
      <c r="JWD1365" s="76"/>
      <c r="JWE1365" s="76"/>
      <c r="JWF1365" s="76"/>
      <c r="JWG1365" s="76"/>
      <c r="JWH1365" s="76"/>
      <c r="JWI1365" s="76"/>
      <c r="JWJ1365" s="76"/>
      <c r="JWK1365" s="76"/>
      <c r="JWL1365" s="76"/>
      <c r="JWM1365" s="76"/>
      <c r="JWN1365" s="76"/>
      <c r="JWO1365" s="76"/>
      <c r="JWP1365" s="76"/>
      <c r="JWQ1365" s="76"/>
      <c r="JWR1365" s="76"/>
      <c r="JWS1365" s="76"/>
      <c r="JWT1365" s="76"/>
      <c r="JWU1365" s="76"/>
      <c r="JWV1365" s="76"/>
      <c r="JWW1365" s="76"/>
      <c r="JWX1365" s="76"/>
      <c r="JWY1365" s="76"/>
      <c r="JWZ1365" s="76"/>
      <c r="JXA1365" s="76"/>
      <c r="JXB1365" s="76"/>
      <c r="JXC1365" s="76"/>
      <c r="JXD1365" s="76"/>
      <c r="JXE1365" s="76"/>
      <c r="JXF1365" s="76"/>
      <c r="JXG1365" s="76"/>
      <c r="JXH1365" s="76"/>
      <c r="JXI1365" s="76"/>
      <c r="JXJ1365" s="76"/>
      <c r="JXK1365" s="76"/>
      <c r="JXL1365" s="76"/>
      <c r="JXM1365" s="76"/>
      <c r="JXN1365" s="76"/>
      <c r="JXO1365" s="76"/>
      <c r="JXP1365" s="76"/>
      <c r="JXQ1365" s="76"/>
      <c r="JXR1365" s="76"/>
      <c r="JXS1365" s="76"/>
      <c r="JXT1365" s="76"/>
      <c r="JXU1365" s="76"/>
      <c r="JXV1365" s="76"/>
      <c r="JXW1365" s="76"/>
      <c r="JXX1365" s="76"/>
      <c r="JXY1365" s="76"/>
      <c r="JXZ1365" s="76"/>
      <c r="JYA1365" s="76"/>
      <c r="JYB1365" s="76"/>
      <c r="JYC1365" s="76"/>
      <c r="JYD1365" s="76"/>
      <c r="JYE1365" s="76"/>
      <c r="JYF1365" s="76"/>
      <c r="JYG1365" s="76"/>
      <c r="JYH1365" s="76"/>
      <c r="JYI1365" s="76"/>
      <c r="JYJ1365" s="76"/>
      <c r="JYK1365" s="76"/>
      <c r="JYL1365" s="76"/>
      <c r="JYM1365" s="76"/>
      <c r="JYN1365" s="76"/>
      <c r="JYO1365" s="76"/>
      <c r="JYP1365" s="76"/>
      <c r="JYQ1365" s="76"/>
      <c r="JYR1365" s="76"/>
      <c r="JYS1365" s="50"/>
      <c r="JYT1365" s="76"/>
      <c r="JYU1365" s="76"/>
      <c r="JYV1365" s="76"/>
      <c r="JYW1365" s="76"/>
      <c r="JYX1365" s="76"/>
      <c r="JYY1365" s="76"/>
      <c r="JYZ1365" s="76"/>
      <c r="JZA1365" s="76"/>
      <c r="JZB1365" s="76"/>
      <c r="JZC1365" s="76"/>
      <c r="JZD1365" s="76"/>
      <c r="JZE1365" s="76"/>
      <c r="JZF1365" s="76"/>
      <c r="JZG1365" s="76"/>
      <c r="JZH1365" s="76"/>
      <c r="JZI1365" s="76"/>
      <c r="JZJ1365" s="76"/>
      <c r="JZK1365" s="76"/>
      <c r="JZL1365" s="76"/>
      <c r="JZM1365" s="76"/>
      <c r="JZN1365" s="76"/>
      <c r="JZO1365" s="76"/>
      <c r="JZP1365" s="76"/>
      <c r="JZQ1365" s="76"/>
      <c r="JZR1365" s="76"/>
      <c r="JZS1365" s="76"/>
      <c r="JZT1365" s="76"/>
      <c r="JZU1365" s="76"/>
      <c r="JZV1365" s="76"/>
      <c r="JZW1365" s="76"/>
      <c r="JZX1365" s="76"/>
      <c r="JZY1365" s="76"/>
      <c r="JZZ1365" s="76"/>
      <c r="KAA1365" s="76"/>
      <c r="KAB1365" s="76"/>
      <c r="KAC1365" s="76"/>
      <c r="KAD1365" s="76"/>
      <c r="KAE1365" s="76"/>
      <c r="KAF1365" s="76"/>
      <c r="KAG1365" s="76"/>
      <c r="KAH1365" s="76"/>
      <c r="KAI1365" s="76"/>
      <c r="KAJ1365" s="76"/>
      <c r="KAK1365" s="76"/>
      <c r="KAL1365" s="76"/>
      <c r="KAM1365" s="76"/>
      <c r="KAN1365" s="76"/>
      <c r="KAO1365" s="76"/>
      <c r="KAP1365" s="76"/>
      <c r="KAQ1365" s="76"/>
      <c r="KAR1365" s="76"/>
      <c r="KAS1365" s="76"/>
      <c r="KAT1365" s="76"/>
      <c r="KAU1365" s="76"/>
      <c r="KAV1365" s="76"/>
      <c r="KAW1365" s="76"/>
      <c r="KAX1365" s="76"/>
      <c r="KAY1365" s="76"/>
      <c r="KAZ1365" s="76"/>
      <c r="KBA1365" s="76"/>
      <c r="KBB1365" s="76"/>
      <c r="KBC1365" s="76"/>
      <c r="KBD1365" s="76"/>
      <c r="KBE1365" s="76"/>
      <c r="KBF1365" s="76"/>
      <c r="KBG1365" s="76"/>
      <c r="KBH1365" s="76"/>
      <c r="KBI1365" s="76"/>
      <c r="KBJ1365" s="76"/>
      <c r="KBK1365" s="76"/>
      <c r="KBL1365" s="76"/>
      <c r="KBM1365" s="76"/>
      <c r="KBN1365" s="76"/>
      <c r="KBO1365" s="76"/>
      <c r="KBP1365" s="76"/>
      <c r="KBQ1365" s="76"/>
      <c r="KBR1365" s="76"/>
      <c r="KBS1365" s="76"/>
      <c r="KBT1365" s="76"/>
      <c r="KBU1365" s="76"/>
      <c r="KBV1365" s="76"/>
      <c r="KBW1365" s="76"/>
      <c r="KBX1365" s="76"/>
      <c r="KBY1365" s="76"/>
      <c r="KBZ1365" s="76"/>
      <c r="KCA1365" s="76"/>
      <c r="KCB1365" s="76"/>
      <c r="KCC1365" s="76"/>
      <c r="KCD1365" s="76"/>
      <c r="KCE1365" s="76"/>
      <c r="KCF1365" s="76"/>
      <c r="KCG1365" s="76"/>
      <c r="KCH1365" s="76"/>
      <c r="KCI1365" s="76"/>
      <c r="KCJ1365" s="76"/>
      <c r="KCK1365" s="76"/>
      <c r="KCL1365" s="76"/>
      <c r="KCM1365" s="76"/>
      <c r="KCN1365" s="76"/>
      <c r="KCO1365" s="76"/>
      <c r="KCP1365" s="76"/>
      <c r="KCQ1365" s="76"/>
      <c r="KCR1365" s="76"/>
      <c r="KCS1365" s="76"/>
      <c r="KCT1365" s="76"/>
      <c r="KCU1365" s="76"/>
      <c r="KCV1365" s="76"/>
      <c r="KCW1365" s="76"/>
      <c r="KCX1365" s="76"/>
      <c r="KCY1365" s="76"/>
      <c r="KCZ1365" s="76"/>
      <c r="KDA1365" s="76"/>
      <c r="KDB1365" s="76"/>
      <c r="KDC1365" s="76"/>
      <c r="KDD1365" s="76"/>
      <c r="KDE1365" s="76"/>
      <c r="KDF1365" s="76"/>
      <c r="KDG1365" s="76"/>
      <c r="KDH1365" s="76"/>
      <c r="KDI1365" s="76"/>
      <c r="KDJ1365" s="76"/>
      <c r="KDK1365" s="76"/>
      <c r="KDL1365" s="76"/>
      <c r="KDM1365" s="76"/>
      <c r="KDN1365" s="76"/>
      <c r="KDO1365" s="76"/>
      <c r="KDP1365" s="76"/>
      <c r="KDQ1365" s="76"/>
      <c r="KDR1365" s="76"/>
      <c r="KDS1365" s="76"/>
      <c r="KDT1365" s="76"/>
      <c r="KDU1365" s="76"/>
      <c r="KDV1365" s="76"/>
      <c r="KDW1365" s="76"/>
      <c r="KDX1365" s="76"/>
      <c r="KDY1365" s="76"/>
      <c r="KDZ1365" s="76"/>
      <c r="KEA1365" s="76"/>
      <c r="KEB1365" s="76"/>
      <c r="KEC1365" s="76"/>
      <c r="KED1365" s="76"/>
      <c r="KEE1365" s="76"/>
      <c r="KEF1365" s="76"/>
      <c r="KEG1365" s="76"/>
      <c r="KEH1365" s="76"/>
      <c r="KEI1365" s="76"/>
      <c r="KEJ1365" s="76"/>
      <c r="KEK1365" s="76"/>
      <c r="KEL1365" s="76"/>
      <c r="KEM1365" s="76"/>
      <c r="KEN1365" s="76"/>
      <c r="KEO1365" s="76"/>
      <c r="KEP1365" s="76"/>
      <c r="KEQ1365" s="76"/>
      <c r="KER1365" s="76"/>
      <c r="KES1365" s="76"/>
      <c r="KET1365" s="76"/>
      <c r="KEU1365" s="76"/>
      <c r="KEV1365" s="76"/>
      <c r="KEW1365" s="76"/>
      <c r="KEX1365" s="76"/>
      <c r="KEY1365" s="76"/>
      <c r="KEZ1365" s="76"/>
      <c r="KFA1365" s="76"/>
      <c r="KFB1365" s="76"/>
      <c r="KFC1365" s="76"/>
      <c r="KFD1365" s="76"/>
      <c r="KFE1365" s="76"/>
      <c r="KFF1365" s="76"/>
      <c r="KFG1365" s="76"/>
      <c r="KFH1365" s="76"/>
      <c r="KFI1365" s="76"/>
      <c r="KFJ1365" s="76"/>
      <c r="KFK1365" s="76"/>
      <c r="KFL1365" s="76"/>
      <c r="KFM1365" s="76"/>
      <c r="KFN1365" s="76"/>
      <c r="KFO1365" s="76"/>
      <c r="KFP1365" s="76"/>
      <c r="KFQ1365" s="76"/>
      <c r="KFR1365" s="76"/>
      <c r="KFS1365" s="76"/>
      <c r="KFT1365" s="76"/>
      <c r="KFU1365" s="76"/>
      <c r="KFV1365" s="76"/>
      <c r="KFW1365" s="76"/>
      <c r="KFX1365" s="76"/>
      <c r="KFY1365" s="76"/>
      <c r="KFZ1365" s="76"/>
      <c r="KGA1365" s="76"/>
      <c r="KGB1365" s="76"/>
      <c r="KGC1365" s="76"/>
      <c r="KGD1365" s="76"/>
      <c r="KGE1365" s="76"/>
      <c r="KGF1365" s="76"/>
      <c r="KGG1365" s="76"/>
      <c r="KGH1365" s="76"/>
      <c r="KGI1365" s="76"/>
      <c r="KGJ1365" s="76"/>
      <c r="KGK1365" s="76"/>
      <c r="KGL1365" s="76"/>
      <c r="KGM1365" s="76"/>
      <c r="KGN1365" s="76"/>
      <c r="KGO1365" s="76"/>
      <c r="KGP1365" s="76"/>
      <c r="KGQ1365" s="76"/>
      <c r="KGR1365" s="76"/>
      <c r="KGS1365" s="76"/>
      <c r="KGT1365" s="76"/>
      <c r="KGU1365" s="76"/>
      <c r="KGV1365" s="76"/>
      <c r="KGW1365" s="76"/>
      <c r="KGX1365" s="76"/>
      <c r="KGY1365" s="76"/>
      <c r="KGZ1365" s="76"/>
      <c r="KHA1365" s="76"/>
      <c r="KHB1365" s="76"/>
      <c r="KHC1365" s="76"/>
      <c r="KHD1365" s="76"/>
      <c r="KHE1365" s="76"/>
      <c r="KHF1365" s="76"/>
      <c r="KHG1365" s="76"/>
      <c r="KHH1365" s="76"/>
      <c r="KHI1365" s="76"/>
      <c r="KHJ1365" s="76"/>
      <c r="KHK1365" s="76"/>
      <c r="KHL1365" s="76"/>
      <c r="KHM1365" s="76"/>
      <c r="KHN1365" s="76"/>
      <c r="KHO1365" s="76"/>
      <c r="KHP1365" s="76"/>
      <c r="KHQ1365" s="76"/>
      <c r="KHR1365" s="76"/>
      <c r="KHS1365" s="76"/>
      <c r="KHT1365" s="76"/>
      <c r="KHU1365" s="76"/>
      <c r="KHV1365" s="76"/>
      <c r="KHW1365" s="76"/>
      <c r="KHX1365" s="76"/>
      <c r="KHY1365" s="76"/>
      <c r="KHZ1365" s="76"/>
      <c r="KIA1365" s="76"/>
      <c r="KIB1365" s="76"/>
      <c r="KIC1365" s="76"/>
      <c r="KID1365" s="76"/>
      <c r="KIE1365" s="76"/>
      <c r="KIF1365" s="76"/>
      <c r="KIG1365" s="76"/>
      <c r="KIH1365" s="76"/>
      <c r="KII1365" s="76"/>
      <c r="KIJ1365" s="76"/>
      <c r="KIK1365" s="76"/>
      <c r="KIL1365" s="76"/>
      <c r="KIM1365" s="76"/>
      <c r="KIN1365" s="76"/>
      <c r="KIO1365" s="50"/>
      <c r="KIP1365" s="76"/>
      <c r="KIQ1365" s="76"/>
      <c r="KIR1365" s="76"/>
      <c r="KIS1365" s="76"/>
      <c r="KIT1365" s="76"/>
      <c r="KIU1365" s="76"/>
      <c r="KIV1365" s="76"/>
      <c r="KIW1365" s="76"/>
      <c r="KIX1365" s="76"/>
      <c r="KIY1365" s="76"/>
      <c r="KIZ1365" s="76"/>
      <c r="KJA1365" s="76"/>
      <c r="KJB1365" s="76"/>
      <c r="KJC1365" s="76"/>
      <c r="KJD1365" s="76"/>
      <c r="KJE1365" s="76"/>
      <c r="KJF1365" s="76"/>
      <c r="KJG1365" s="76"/>
      <c r="KJH1365" s="76"/>
      <c r="KJI1365" s="76"/>
      <c r="KJJ1365" s="76"/>
      <c r="KJK1365" s="76"/>
      <c r="KJL1365" s="76"/>
      <c r="KJM1365" s="76"/>
      <c r="KJN1365" s="76"/>
      <c r="KJO1365" s="76"/>
      <c r="KJP1365" s="76"/>
      <c r="KJQ1365" s="76"/>
      <c r="KJR1365" s="76"/>
      <c r="KJS1365" s="76"/>
      <c r="KJT1365" s="76"/>
      <c r="KJU1365" s="76"/>
      <c r="KJV1365" s="76"/>
      <c r="KJW1365" s="76"/>
      <c r="KJX1365" s="76"/>
      <c r="KJY1365" s="76"/>
      <c r="KJZ1365" s="76"/>
      <c r="KKA1365" s="76"/>
      <c r="KKB1365" s="76"/>
      <c r="KKC1365" s="76"/>
      <c r="KKD1365" s="76"/>
      <c r="KKE1365" s="76"/>
      <c r="KKF1365" s="76"/>
      <c r="KKG1365" s="76"/>
      <c r="KKH1365" s="76"/>
      <c r="KKI1365" s="76"/>
      <c r="KKJ1365" s="76"/>
      <c r="KKK1365" s="76"/>
      <c r="KKL1365" s="76"/>
      <c r="KKM1365" s="76"/>
      <c r="KKN1365" s="76"/>
      <c r="KKO1365" s="76"/>
      <c r="KKP1365" s="76"/>
      <c r="KKQ1365" s="76"/>
      <c r="KKR1365" s="76"/>
      <c r="KKS1365" s="76"/>
      <c r="KKT1365" s="76"/>
      <c r="KKU1365" s="76"/>
      <c r="KKV1365" s="76"/>
      <c r="KKW1365" s="76"/>
      <c r="KKX1365" s="76"/>
      <c r="KKY1365" s="76"/>
      <c r="KKZ1365" s="76"/>
      <c r="KLA1365" s="76"/>
      <c r="KLB1365" s="76"/>
      <c r="KLC1365" s="76"/>
      <c r="KLD1365" s="76"/>
      <c r="KLE1365" s="76"/>
      <c r="KLF1365" s="76"/>
      <c r="KLG1365" s="76"/>
      <c r="KLH1365" s="76"/>
      <c r="KLI1365" s="76"/>
      <c r="KLJ1365" s="76"/>
      <c r="KLK1365" s="76"/>
      <c r="KLL1365" s="76"/>
      <c r="KLM1365" s="76"/>
      <c r="KLN1365" s="76"/>
      <c r="KLO1365" s="76"/>
      <c r="KLP1365" s="76"/>
      <c r="KLQ1365" s="76"/>
      <c r="KLR1365" s="76"/>
      <c r="KLS1365" s="76"/>
      <c r="KLT1365" s="76"/>
      <c r="KLU1365" s="76"/>
      <c r="KLV1365" s="76"/>
      <c r="KLW1365" s="76"/>
      <c r="KLX1365" s="76"/>
      <c r="KLY1365" s="76"/>
      <c r="KLZ1365" s="76"/>
      <c r="KMA1365" s="76"/>
      <c r="KMB1365" s="76"/>
      <c r="KMC1365" s="76"/>
      <c r="KMD1365" s="76"/>
      <c r="KME1365" s="76"/>
      <c r="KMF1365" s="76"/>
      <c r="KMG1365" s="76"/>
      <c r="KMH1365" s="76"/>
      <c r="KMI1365" s="76"/>
      <c r="KMJ1365" s="76"/>
      <c r="KMK1365" s="76"/>
      <c r="KML1365" s="76"/>
      <c r="KMM1365" s="76"/>
      <c r="KMN1365" s="76"/>
      <c r="KMO1365" s="76"/>
      <c r="KMP1365" s="76"/>
      <c r="KMQ1365" s="76"/>
      <c r="KMR1365" s="76"/>
      <c r="KMS1365" s="76"/>
      <c r="KMT1365" s="76"/>
      <c r="KMU1365" s="76"/>
      <c r="KMV1365" s="76"/>
      <c r="KMW1365" s="76"/>
      <c r="KMX1365" s="76"/>
      <c r="KMY1365" s="76"/>
      <c r="KMZ1365" s="76"/>
      <c r="KNA1365" s="76"/>
      <c r="KNB1365" s="76"/>
      <c r="KNC1365" s="76"/>
      <c r="KND1365" s="76"/>
      <c r="KNE1365" s="76"/>
      <c r="KNF1365" s="76"/>
      <c r="KNG1365" s="76"/>
      <c r="KNH1365" s="76"/>
      <c r="KNI1365" s="76"/>
      <c r="KNJ1365" s="76"/>
      <c r="KNK1365" s="76"/>
      <c r="KNL1365" s="76"/>
      <c r="KNM1365" s="76"/>
      <c r="KNN1365" s="76"/>
      <c r="KNO1365" s="76"/>
      <c r="KNP1365" s="76"/>
      <c r="KNQ1365" s="76"/>
      <c r="KNR1365" s="76"/>
      <c r="KNS1365" s="76"/>
      <c r="KNT1365" s="76"/>
      <c r="KNU1365" s="76"/>
      <c r="KNV1365" s="76"/>
      <c r="KNW1365" s="76"/>
      <c r="KNX1365" s="76"/>
      <c r="KNY1365" s="76"/>
      <c r="KNZ1365" s="76"/>
      <c r="KOA1365" s="76"/>
      <c r="KOB1365" s="76"/>
      <c r="KOC1365" s="76"/>
      <c r="KOD1365" s="76"/>
      <c r="KOE1365" s="76"/>
      <c r="KOF1365" s="76"/>
      <c r="KOG1365" s="76"/>
      <c r="KOH1365" s="76"/>
      <c r="KOI1365" s="76"/>
      <c r="KOJ1365" s="76"/>
      <c r="KOK1365" s="76"/>
      <c r="KOL1365" s="76"/>
      <c r="KOM1365" s="76"/>
      <c r="KON1365" s="76"/>
      <c r="KOO1365" s="76"/>
      <c r="KOP1365" s="76"/>
      <c r="KOQ1365" s="76"/>
      <c r="KOR1365" s="76"/>
      <c r="KOS1365" s="76"/>
      <c r="KOT1365" s="76"/>
      <c r="KOU1365" s="76"/>
      <c r="KOV1365" s="76"/>
      <c r="KOW1365" s="76"/>
      <c r="KOX1365" s="76"/>
      <c r="KOY1365" s="76"/>
      <c r="KOZ1365" s="76"/>
      <c r="KPA1365" s="76"/>
      <c r="KPB1365" s="76"/>
      <c r="KPC1365" s="76"/>
      <c r="KPD1365" s="76"/>
      <c r="KPE1365" s="76"/>
      <c r="KPF1365" s="76"/>
      <c r="KPG1365" s="76"/>
      <c r="KPH1365" s="76"/>
      <c r="KPI1365" s="76"/>
      <c r="KPJ1365" s="76"/>
      <c r="KPK1365" s="76"/>
      <c r="KPL1365" s="76"/>
      <c r="KPM1365" s="76"/>
      <c r="KPN1365" s="76"/>
      <c r="KPO1365" s="76"/>
      <c r="KPP1365" s="76"/>
      <c r="KPQ1365" s="76"/>
      <c r="KPR1365" s="76"/>
      <c r="KPS1365" s="76"/>
      <c r="KPT1365" s="76"/>
      <c r="KPU1365" s="76"/>
      <c r="KPV1365" s="76"/>
      <c r="KPW1365" s="76"/>
      <c r="KPX1365" s="76"/>
      <c r="KPY1365" s="76"/>
      <c r="KPZ1365" s="76"/>
      <c r="KQA1365" s="76"/>
      <c r="KQB1365" s="76"/>
      <c r="KQC1365" s="76"/>
      <c r="KQD1365" s="76"/>
      <c r="KQE1365" s="76"/>
      <c r="KQF1365" s="76"/>
      <c r="KQG1365" s="76"/>
      <c r="KQH1365" s="76"/>
      <c r="KQI1365" s="76"/>
      <c r="KQJ1365" s="76"/>
      <c r="KQK1365" s="76"/>
      <c r="KQL1365" s="76"/>
      <c r="KQM1365" s="76"/>
      <c r="KQN1365" s="76"/>
      <c r="KQO1365" s="76"/>
      <c r="KQP1365" s="76"/>
      <c r="KQQ1365" s="76"/>
      <c r="KQR1365" s="76"/>
      <c r="KQS1365" s="76"/>
      <c r="KQT1365" s="76"/>
      <c r="KQU1365" s="76"/>
      <c r="KQV1365" s="76"/>
      <c r="KQW1365" s="76"/>
      <c r="KQX1365" s="76"/>
      <c r="KQY1365" s="76"/>
      <c r="KQZ1365" s="76"/>
      <c r="KRA1365" s="76"/>
      <c r="KRB1365" s="76"/>
      <c r="KRC1365" s="76"/>
      <c r="KRD1365" s="76"/>
      <c r="KRE1365" s="76"/>
      <c r="KRF1365" s="76"/>
      <c r="KRG1365" s="76"/>
      <c r="KRH1365" s="76"/>
      <c r="KRI1365" s="76"/>
      <c r="KRJ1365" s="76"/>
      <c r="KRK1365" s="76"/>
      <c r="KRL1365" s="76"/>
      <c r="KRM1365" s="76"/>
      <c r="KRN1365" s="76"/>
      <c r="KRO1365" s="76"/>
      <c r="KRP1365" s="76"/>
      <c r="KRQ1365" s="76"/>
      <c r="KRR1365" s="76"/>
      <c r="KRS1365" s="76"/>
      <c r="KRT1365" s="76"/>
      <c r="KRU1365" s="76"/>
      <c r="KRV1365" s="76"/>
      <c r="KRW1365" s="76"/>
      <c r="KRX1365" s="76"/>
      <c r="KRY1365" s="76"/>
      <c r="KRZ1365" s="76"/>
      <c r="KSA1365" s="76"/>
      <c r="KSB1365" s="76"/>
      <c r="KSC1365" s="76"/>
      <c r="KSD1365" s="76"/>
      <c r="KSE1365" s="76"/>
      <c r="KSF1365" s="76"/>
      <c r="KSG1365" s="76"/>
      <c r="KSH1365" s="76"/>
      <c r="KSI1365" s="76"/>
      <c r="KSJ1365" s="76"/>
      <c r="KSK1365" s="50"/>
      <c r="KSL1365" s="76"/>
      <c r="KSM1365" s="76"/>
      <c r="KSN1365" s="76"/>
      <c r="KSO1365" s="76"/>
      <c r="KSP1365" s="76"/>
      <c r="KSQ1365" s="76"/>
      <c r="KSR1365" s="76"/>
      <c r="KSS1365" s="76"/>
      <c r="KST1365" s="76"/>
      <c r="KSU1365" s="76"/>
      <c r="KSV1365" s="76"/>
      <c r="KSW1365" s="76"/>
      <c r="KSX1365" s="76"/>
      <c r="KSY1365" s="76"/>
      <c r="KSZ1365" s="76"/>
      <c r="KTA1365" s="76"/>
      <c r="KTB1365" s="76"/>
      <c r="KTC1365" s="76"/>
      <c r="KTD1365" s="76"/>
      <c r="KTE1365" s="76"/>
      <c r="KTF1365" s="76"/>
      <c r="KTG1365" s="76"/>
      <c r="KTH1365" s="76"/>
      <c r="KTI1365" s="76"/>
      <c r="KTJ1365" s="76"/>
      <c r="KTK1365" s="76"/>
      <c r="KTL1365" s="76"/>
      <c r="KTM1365" s="76"/>
      <c r="KTN1365" s="76"/>
      <c r="KTO1365" s="76"/>
      <c r="KTP1365" s="76"/>
      <c r="KTQ1365" s="76"/>
      <c r="KTR1365" s="76"/>
      <c r="KTS1365" s="76"/>
      <c r="KTT1365" s="76"/>
      <c r="KTU1365" s="76"/>
      <c r="KTV1365" s="76"/>
      <c r="KTW1365" s="76"/>
      <c r="KTX1365" s="76"/>
      <c r="KTY1365" s="76"/>
      <c r="KTZ1365" s="76"/>
      <c r="KUA1365" s="76"/>
      <c r="KUB1365" s="76"/>
      <c r="KUC1365" s="76"/>
      <c r="KUD1365" s="76"/>
      <c r="KUE1365" s="76"/>
      <c r="KUF1365" s="76"/>
      <c r="KUG1365" s="76"/>
      <c r="KUH1365" s="76"/>
      <c r="KUI1365" s="76"/>
      <c r="KUJ1365" s="76"/>
      <c r="KUK1365" s="76"/>
      <c r="KUL1365" s="76"/>
      <c r="KUM1365" s="76"/>
      <c r="KUN1365" s="76"/>
      <c r="KUO1365" s="76"/>
      <c r="KUP1365" s="76"/>
      <c r="KUQ1365" s="76"/>
      <c r="KUR1365" s="76"/>
      <c r="KUS1365" s="76"/>
      <c r="KUT1365" s="76"/>
      <c r="KUU1365" s="76"/>
      <c r="KUV1365" s="76"/>
      <c r="KUW1365" s="76"/>
      <c r="KUX1365" s="76"/>
      <c r="KUY1365" s="76"/>
      <c r="KUZ1365" s="76"/>
      <c r="KVA1365" s="76"/>
      <c r="KVB1365" s="76"/>
      <c r="KVC1365" s="76"/>
      <c r="KVD1365" s="76"/>
      <c r="KVE1365" s="76"/>
      <c r="KVF1365" s="76"/>
      <c r="KVG1365" s="76"/>
      <c r="KVH1365" s="76"/>
      <c r="KVI1365" s="76"/>
      <c r="KVJ1365" s="76"/>
      <c r="KVK1365" s="76"/>
      <c r="KVL1365" s="76"/>
      <c r="KVM1365" s="76"/>
      <c r="KVN1365" s="76"/>
      <c r="KVO1365" s="76"/>
      <c r="KVP1365" s="76"/>
      <c r="KVQ1365" s="76"/>
      <c r="KVR1365" s="76"/>
      <c r="KVS1365" s="76"/>
      <c r="KVT1365" s="76"/>
      <c r="KVU1365" s="76"/>
      <c r="KVV1365" s="76"/>
      <c r="KVW1365" s="76"/>
      <c r="KVX1365" s="76"/>
      <c r="KVY1365" s="76"/>
      <c r="KVZ1365" s="76"/>
      <c r="KWA1365" s="76"/>
      <c r="KWB1365" s="76"/>
      <c r="KWC1365" s="76"/>
      <c r="KWD1365" s="76"/>
      <c r="KWE1365" s="76"/>
      <c r="KWF1365" s="76"/>
      <c r="KWG1365" s="76"/>
      <c r="KWH1365" s="76"/>
      <c r="KWI1365" s="76"/>
      <c r="KWJ1365" s="76"/>
      <c r="KWK1365" s="76"/>
      <c r="KWL1365" s="76"/>
      <c r="KWM1365" s="76"/>
      <c r="KWN1365" s="76"/>
      <c r="KWO1365" s="76"/>
      <c r="KWP1365" s="76"/>
      <c r="KWQ1365" s="76"/>
      <c r="KWR1365" s="76"/>
      <c r="KWS1365" s="76"/>
      <c r="KWT1365" s="76"/>
      <c r="KWU1365" s="76"/>
      <c r="KWV1365" s="76"/>
      <c r="KWW1365" s="76"/>
      <c r="KWX1365" s="76"/>
      <c r="KWY1365" s="76"/>
      <c r="KWZ1365" s="76"/>
      <c r="KXA1365" s="76"/>
      <c r="KXB1365" s="76"/>
      <c r="KXC1365" s="76"/>
      <c r="KXD1365" s="76"/>
      <c r="KXE1365" s="76"/>
      <c r="KXF1365" s="76"/>
      <c r="KXG1365" s="76"/>
      <c r="KXH1365" s="76"/>
      <c r="KXI1365" s="76"/>
      <c r="KXJ1365" s="76"/>
      <c r="KXK1365" s="76"/>
      <c r="KXL1365" s="76"/>
      <c r="KXM1365" s="76"/>
      <c r="KXN1365" s="76"/>
      <c r="KXO1365" s="76"/>
      <c r="KXP1365" s="76"/>
      <c r="KXQ1365" s="76"/>
      <c r="KXR1365" s="76"/>
      <c r="KXS1365" s="76"/>
      <c r="KXT1365" s="76"/>
      <c r="KXU1365" s="76"/>
      <c r="KXV1365" s="76"/>
      <c r="KXW1365" s="76"/>
      <c r="KXX1365" s="76"/>
      <c r="KXY1365" s="76"/>
      <c r="KXZ1365" s="76"/>
      <c r="KYA1365" s="76"/>
      <c r="KYB1365" s="76"/>
      <c r="KYC1365" s="76"/>
      <c r="KYD1365" s="76"/>
      <c r="KYE1365" s="76"/>
      <c r="KYF1365" s="76"/>
      <c r="KYG1365" s="76"/>
      <c r="KYH1365" s="76"/>
      <c r="KYI1365" s="76"/>
      <c r="KYJ1365" s="76"/>
      <c r="KYK1365" s="76"/>
      <c r="KYL1365" s="76"/>
      <c r="KYM1365" s="76"/>
      <c r="KYN1365" s="76"/>
      <c r="KYO1365" s="76"/>
      <c r="KYP1365" s="76"/>
      <c r="KYQ1365" s="76"/>
      <c r="KYR1365" s="76"/>
      <c r="KYS1365" s="76"/>
      <c r="KYT1365" s="76"/>
      <c r="KYU1365" s="76"/>
      <c r="KYV1365" s="76"/>
      <c r="KYW1365" s="76"/>
      <c r="KYX1365" s="76"/>
      <c r="KYY1365" s="76"/>
      <c r="KYZ1365" s="76"/>
      <c r="KZA1365" s="76"/>
      <c r="KZB1365" s="76"/>
      <c r="KZC1365" s="76"/>
      <c r="KZD1365" s="76"/>
      <c r="KZE1365" s="76"/>
      <c r="KZF1365" s="76"/>
      <c r="KZG1365" s="76"/>
      <c r="KZH1365" s="76"/>
      <c r="KZI1365" s="76"/>
      <c r="KZJ1365" s="76"/>
      <c r="KZK1365" s="76"/>
      <c r="KZL1365" s="76"/>
      <c r="KZM1365" s="76"/>
      <c r="KZN1365" s="76"/>
      <c r="KZO1365" s="76"/>
      <c r="KZP1365" s="76"/>
      <c r="KZQ1365" s="76"/>
      <c r="KZR1365" s="76"/>
      <c r="KZS1365" s="76"/>
      <c r="KZT1365" s="76"/>
      <c r="KZU1365" s="76"/>
      <c r="KZV1365" s="76"/>
      <c r="KZW1365" s="76"/>
      <c r="KZX1365" s="76"/>
      <c r="KZY1365" s="76"/>
      <c r="KZZ1365" s="76"/>
      <c r="LAA1365" s="76"/>
      <c r="LAB1365" s="76"/>
      <c r="LAC1365" s="76"/>
      <c r="LAD1365" s="76"/>
      <c r="LAE1365" s="76"/>
      <c r="LAF1365" s="76"/>
      <c r="LAG1365" s="76"/>
      <c r="LAH1365" s="76"/>
      <c r="LAI1365" s="76"/>
      <c r="LAJ1365" s="76"/>
      <c r="LAK1365" s="76"/>
      <c r="LAL1365" s="76"/>
      <c r="LAM1365" s="76"/>
      <c r="LAN1365" s="76"/>
      <c r="LAO1365" s="76"/>
      <c r="LAP1365" s="76"/>
      <c r="LAQ1365" s="76"/>
      <c r="LAR1365" s="76"/>
      <c r="LAS1365" s="76"/>
      <c r="LAT1365" s="76"/>
      <c r="LAU1365" s="76"/>
      <c r="LAV1365" s="76"/>
      <c r="LAW1365" s="76"/>
      <c r="LAX1365" s="76"/>
      <c r="LAY1365" s="76"/>
      <c r="LAZ1365" s="76"/>
      <c r="LBA1365" s="76"/>
      <c r="LBB1365" s="76"/>
      <c r="LBC1365" s="76"/>
      <c r="LBD1365" s="76"/>
      <c r="LBE1365" s="76"/>
      <c r="LBF1365" s="76"/>
      <c r="LBG1365" s="76"/>
      <c r="LBH1365" s="76"/>
      <c r="LBI1365" s="76"/>
      <c r="LBJ1365" s="76"/>
      <c r="LBK1365" s="76"/>
      <c r="LBL1365" s="76"/>
      <c r="LBM1365" s="76"/>
      <c r="LBN1365" s="76"/>
      <c r="LBO1365" s="76"/>
      <c r="LBP1365" s="76"/>
      <c r="LBQ1365" s="76"/>
      <c r="LBR1365" s="76"/>
      <c r="LBS1365" s="76"/>
      <c r="LBT1365" s="76"/>
      <c r="LBU1365" s="76"/>
      <c r="LBV1365" s="76"/>
      <c r="LBW1365" s="76"/>
      <c r="LBX1365" s="76"/>
      <c r="LBY1365" s="76"/>
      <c r="LBZ1365" s="76"/>
      <c r="LCA1365" s="76"/>
      <c r="LCB1365" s="76"/>
      <c r="LCC1365" s="76"/>
      <c r="LCD1365" s="76"/>
      <c r="LCE1365" s="76"/>
      <c r="LCF1365" s="76"/>
      <c r="LCG1365" s="50"/>
      <c r="LCH1365" s="76"/>
      <c r="LCI1365" s="76"/>
      <c r="LCJ1365" s="76"/>
      <c r="LCK1365" s="76"/>
      <c r="LCL1365" s="76"/>
      <c r="LCM1365" s="76"/>
      <c r="LCN1365" s="76"/>
      <c r="LCO1365" s="76"/>
      <c r="LCP1365" s="76"/>
      <c r="LCQ1365" s="76"/>
      <c r="LCR1365" s="76"/>
      <c r="LCS1365" s="76"/>
      <c r="LCT1365" s="76"/>
      <c r="LCU1365" s="76"/>
      <c r="LCV1365" s="76"/>
      <c r="LCW1365" s="76"/>
      <c r="LCX1365" s="76"/>
      <c r="LCY1365" s="76"/>
      <c r="LCZ1365" s="76"/>
      <c r="LDA1365" s="76"/>
      <c r="LDB1365" s="76"/>
      <c r="LDC1365" s="76"/>
      <c r="LDD1365" s="76"/>
      <c r="LDE1365" s="76"/>
      <c r="LDF1365" s="76"/>
      <c r="LDG1365" s="76"/>
      <c r="LDH1365" s="76"/>
      <c r="LDI1365" s="76"/>
      <c r="LDJ1365" s="76"/>
      <c r="LDK1365" s="76"/>
      <c r="LDL1365" s="76"/>
      <c r="LDM1365" s="76"/>
      <c r="LDN1365" s="76"/>
      <c r="LDO1365" s="76"/>
      <c r="LDP1365" s="76"/>
      <c r="LDQ1365" s="76"/>
      <c r="LDR1365" s="76"/>
      <c r="LDS1365" s="76"/>
      <c r="LDT1365" s="76"/>
      <c r="LDU1365" s="76"/>
      <c r="LDV1365" s="76"/>
      <c r="LDW1365" s="76"/>
      <c r="LDX1365" s="76"/>
      <c r="LDY1365" s="76"/>
      <c r="LDZ1365" s="76"/>
      <c r="LEA1365" s="76"/>
      <c r="LEB1365" s="76"/>
      <c r="LEC1365" s="76"/>
      <c r="LED1365" s="76"/>
      <c r="LEE1365" s="76"/>
      <c r="LEF1365" s="76"/>
      <c r="LEG1365" s="76"/>
      <c r="LEH1365" s="76"/>
      <c r="LEI1365" s="76"/>
      <c r="LEJ1365" s="76"/>
      <c r="LEK1365" s="76"/>
      <c r="LEL1365" s="76"/>
      <c r="LEM1365" s="76"/>
      <c r="LEN1365" s="76"/>
      <c r="LEO1365" s="76"/>
      <c r="LEP1365" s="76"/>
      <c r="LEQ1365" s="76"/>
      <c r="LER1365" s="76"/>
      <c r="LES1365" s="76"/>
      <c r="LET1365" s="76"/>
      <c r="LEU1365" s="76"/>
      <c r="LEV1365" s="76"/>
      <c r="LEW1365" s="76"/>
      <c r="LEX1365" s="76"/>
      <c r="LEY1365" s="76"/>
      <c r="LEZ1365" s="76"/>
      <c r="LFA1365" s="76"/>
      <c r="LFB1365" s="76"/>
      <c r="LFC1365" s="76"/>
      <c r="LFD1365" s="76"/>
      <c r="LFE1365" s="76"/>
      <c r="LFF1365" s="76"/>
      <c r="LFG1365" s="76"/>
      <c r="LFH1365" s="76"/>
      <c r="LFI1365" s="76"/>
      <c r="LFJ1365" s="76"/>
      <c r="LFK1365" s="76"/>
      <c r="LFL1365" s="76"/>
      <c r="LFM1365" s="76"/>
      <c r="LFN1365" s="76"/>
      <c r="LFO1365" s="76"/>
      <c r="LFP1365" s="76"/>
      <c r="LFQ1365" s="76"/>
      <c r="LFR1365" s="76"/>
      <c r="LFS1365" s="76"/>
      <c r="LFT1365" s="76"/>
      <c r="LFU1365" s="76"/>
      <c r="LFV1365" s="76"/>
      <c r="LFW1365" s="76"/>
      <c r="LFX1365" s="76"/>
      <c r="LFY1365" s="76"/>
      <c r="LFZ1365" s="76"/>
      <c r="LGA1365" s="76"/>
      <c r="LGB1365" s="76"/>
      <c r="LGC1365" s="76"/>
      <c r="LGD1365" s="76"/>
      <c r="LGE1365" s="76"/>
      <c r="LGF1365" s="76"/>
      <c r="LGG1365" s="76"/>
      <c r="LGH1365" s="76"/>
      <c r="LGI1365" s="76"/>
      <c r="LGJ1365" s="76"/>
      <c r="LGK1365" s="76"/>
      <c r="LGL1365" s="76"/>
      <c r="LGM1365" s="76"/>
      <c r="LGN1365" s="76"/>
      <c r="LGO1365" s="76"/>
      <c r="LGP1365" s="76"/>
      <c r="LGQ1365" s="76"/>
      <c r="LGR1365" s="76"/>
      <c r="LGS1365" s="76"/>
      <c r="LGT1365" s="76"/>
      <c r="LGU1365" s="76"/>
      <c r="LGV1365" s="76"/>
      <c r="LGW1365" s="76"/>
      <c r="LGX1365" s="76"/>
      <c r="LGY1365" s="76"/>
      <c r="LGZ1365" s="76"/>
      <c r="LHA1365" s="76"/>
      <c r="LHB1365" s="76"/>
      <c r="LHC1365" s="76"/>
      <c r="LHD1365" s="76"/>
      <c r="LHE1365" s="76"/>
      <c r="LHF1365" s="76"/>
      <c r="LHG1365" s="76"/>
      <c r="LHH1365" s="76"/>
      <c r="LHI1365" s="76"/>
      <c r="LHJ1365" s="76"/>
      <c r="LHK1365" s="76"/>
      <c r="LHL1365" s="76"/>
      <c r="LHM1365" s="76"/>
      <c r="LHN1365" s="76"/>
      <c r="LHO1365" s="76"/>
      <c r="LHP1365" s="76"/>
      <c r="LHQ1365" s="76"/>
      <c r="LHR1365" s="76"/>
      <c r="LHS1365" s="76"/>
      <c r="LHT1365" s="76"/>
      <c r="LHU1365" s="76"/>
      <c r="LHV1365" s="76"/>
      <c r="LHW1365" s="76"/>
      <c r="LHX1365" s="76"/>
      <c r="LHY1365" s="76"/>
      <c r="LHZ1365" s="76"/>
      <c r="LIA1365" s="76"/>
      <c r="LIB1365" s="76"/>
      <c r="LIC1365" s="76"/>
      <c r="LID1365" s="76"/>
      <c r="LIE1365" s="76"/>
      <c r="LIF1365" s="76"/>
      <c r="LIG1365" s="76"/>
      <c r="LIH1365" s="76"/>
      <c r="LII1365" s="76"/>
      <c r="LIJ1365" s="76"/>
      <c r="LIK1365" s="76"/>
      <c r="LIL1365" s="76"/>
      <c r="LIM1365" s="76"/>
      <c r="LIN1365" s="76"/>
      <c r="LIO1365" s="76"/>
      <c r="LIP1365" s="76"/>
      <c r="LIQ1365" s="76"/>
      <c r="LIR1365" s="76"/>
      <c r="LIS1365" s="76"/>
      <c r="LIT1365" s="76"/>
      <c r="LIU1365" s="76"/>
      <c r="LIV1365" s="76"/>
      <c r="LIW1365" s="76"/>
      <c r="LIX1365" s="76"/>
      <c r="LIY1365" s="76"/>
      <c r="LIZ1365" s="76"/>
      <c r="LJA1365" s="76"/>
      <c r="LJB1365" s="76"/>
      <c r="LJC1365" s="76"/>
      <c r="LJD1365" s="76"/>
      <c r="LJE1365" s="76"/>
      <c r="LJF1365" s="76"/>
      <c r="LJG1365" s="76"/>
      <c r="LJH1365" s="76"/>
      <c r="LJI1365" s="76"/>
      <c r="LJJ1365" s="76"/>
      <c r="LJK1365" s="76"/>
      <c r="LJL1365" s="76"/>
      <c r="LJM1365" s="76"/>
      <c r="LJN1365" s="76"/>
      <c r="LJO1365" s="76"/>
      <c r="LJP1365" s="76"/>
      <c r="LJQ1365" s="76"/>
      <c r="LJR1365" s="76"/>
      <c r="LJS1365" s="76"/>
      <c r="LJT1365" s="76"/>
      <c r="LJU1365" s="76"/>
      <c r="LJV1365" s="76"/>
      <c r="LJW1365" s="76"/>
      <c r="LJX1365" s="76"/>
      <c r="LJY1365" s="76"/>
      <c r="LJZ1365" s="76"/>
      <c r="LKA1365" s="76"/>
      <c r="LKB1365" s="76"/>
      <c r="LKC1365" s="76"/>
      <c r="LKD1365" s="76"/>
      <c r="LKE1365" s="76"/>
      <c r="LKF1365" s="76"/>
      <c r="LKG1365" s="76"/>
      <c r="LKH1365" s="76"/>
      <c r="LKI1365" s="76"/>
      <c r="LKJ1365" s="76"/>
      <c r="LKK1365" s="76"/>
      <c r="LKL1365" s="76"/>
      <c r="LKM1365" s="76"/>
      <c r="LKN1365" s="76"/>
      <c r="LKO1365" s="76"/>
      <c r="LKP1365" s="76"/>
      <c r="LKQ1365" s="76"/>
      <c r="LKR1365" s="76"/>
      <c r="LKS1365" s="76"/>
      <c r="LKT1365" s="76"/>
      <c r="LKU1365" s="76"/>
      <c r="LKV1365" s="76"/>
      <c r="LKW1365" s="76"/>
      <c r="LKX1365" s="76"/>
      <c r="LKY1365" s="76"/>
      <c r="LKZ1365" s="76"/>
      <c r="LLA1365" s="76"/>
      <c r="LLB1365" s="76"/>
      <c r="LLC1365" s="76"/>
      <c r="LLD1365" s="76"/>
      <c r="LLE1365" s="76"/>
      <c r="LLF1365" s="76"/>
      <c r="LLG1365" s="76"/>
      <c r="LLH1365" s="76"/>
      <c r="LLI1365" s="76"/>
      <c r="LLJ1365" s="76"/>
      <c r="LLK1365" s="76"/>
      <c r="LLL1365" s="76"/>
      <c r="LLM1365" s="76"/>
      <c r="LLN1365" s="76"/>
      <c r="LLO1365" s="76"/>
      <c r="LLP1365" s="76"/>
      <c r="LLQ1365" s="76"/>
      <c r="LLR1365" s="76"/>
      <c r="LLS1365" s="76"/>
      <c r="LLT1365" s="76"/>
      <c r="LLU1365" s="76"/>
      <c r="LLV1365" s="76"/>
      <c r="LLW1365" s="76"/>
      <c r="LLX1365" s="76"/>
      <c r="LLY1365" s="76"/>
      <c r="LLZ1365" s="76"/>
      <c r="LMA1365" s="76"/>
      <c r="LMB1365" s="76"/>
      <c r="LMC1365" s="50"/>
      <c r="LMD1365" s="76"/>
      <c r="LME1365" s="76"/>
      <c r="LMF1365" s="76"/>
      <c r="LMG1365" s="76"/>
      <c r="LMH1365" s="76"/>
      <c r="LMI1365" s="76"/>
      <c r="LMJ1365" s="76"/>
      <c r="LMK1365" s="76"/>
      <c r="LML1365" s="76"/>
      <c r="LMM1365" s="76"/>
      <c r="LMN1365" s="76"/>
      <c r="LMO1365" s="76"/>
      <c r="LMP1365" s="76"/>
      <c r="LMQ1365" s="76"/>
      <c r="LMR1365" s="76"/>
      <c r="LMS1365" s="76"/>
      <c r="LMT1365" s="76"/>
      <c r="LMU1365" s="76"/>
      <c r="LMV1365" s="76"/>
      <c r="LMW1365" s="76"/>
      <c r="LMX1365" s="76"/>
      <c r="LMY1365" s="76"/>
      <c r="LMZ1365" s="76"/>
      <c r="LNA1365" s="76"/>
      <c r="LNB1365" s="76"/>
      <c r="LNC1365" s="76"/>
      <c r="LND1365" s="76"/>
      <c r="LNE1365" s="76"/>
      <c r="LNF1365" s="76"/>
      <c r="LNG1365" s="76"/>
      <c r="LNH1365" s="76"/>
      <c r="LNI1365" s="76"/>
      <c r="LNJ1365" s="76"/>
      <c r="LNK1365" s="76"/>
      <c r="LNL1365" s="76"/>
      <c r="LNM1365" s="76"/>
      <c r="LNN1365" s="76"/>
      <c r="LNO1365" s="76"/>
      <c r="LNP1365" s="76"/>
      <c r="LNQ1365" s="76"/>
      <c r="LNR1365" s="76"/>
      <c r="LNS1365" s="76"/>
      <c r="LNT1365" s="76"/>
      <c r="LNU1365" s="76"/>
      <c r="LNV1365" s="76"/>
      <c r="LNW1365" s="76"/>
      <c r="LNX1365" s="76"/>
      <c r="LNY1365" s="76"/>
      <c r="LNZ1365" s="76"/>
      <c r="LOA1365" s="76"/>
      <c r="LOB1365" s="76"/>
      <c r="LOC1365" s="76"/>
      <c r="LOD1365" s="76"/>
      <c r="LOE1365" s="76"/>
      <c r="LOF1365" s="76"/>
      <c r="LOG1365" s="76"/>
      <c r="LOH1365" s="76"/>
      <c r="LOI1365" s="76"/>
      <c r="LOJ1365" s="76"/>
      <c r="LOK1365" s="76"/>
      <c r="LOL1365" s="76"/>
      <c r="LOM1365" s="76"/>
      <c r="LON1365" s="76"/>
      <c r="LOO1365" s="76"/>
      <c r="LOP1365" s="76"/>
      <c r="LOQ1365" s="76"/>
      <c r="LOR1365" s="76"/>
      <c r="LOS1365" s="76"/>
      <c r="LOT1365" s="76"/>
      <c r="LOU1365" s="76"/>
      <c r="LOV1365" s="76"/>
      <c r="LOW1365" s="76"/>
      <c r="LOX1365" s="76"/>
      <c r="LOY1365" s="76"/>
      <c r="LOZ1365" s="76"/>
      <c r="LPA1365" s="76"/>
      <c r="LPB1365" s="76"/>
      <c r="LPC1365" s="76"/>
      <c r="LPD1365" s="76"/>
      <c r="LPE1365" s="76"/>
      <c r="LPF1365" s="76"/>
      <c r="LPG1365" s="76"/>
      <c r="LPH1365" s="76"/>
      <c r="LPI1365" s="76"/>
      <c r="LPJ1365" s="76"/>
      <c r="LPK1365" s="76"/>
      <c r="LPL1365" s="76"/>
      <c r="LPM1365" s="76"/>
      <c r="LPN1365" s="76"/>
      <c r="LPO1365" s="76"/>
      <c r="LPP1365" s="76"/>
      <c r="LPQ1365" s="76"/>
      <c r="LPR1365" s="76"/>
      <c r="LPS1365" s="76"/>
      <c r="LPT1365" s="76"/>
      <c r="LPU1365" s="76"/>
      <c r="LPV1365" s="76"/>
      <c r="LPW1365" s="76"/>
      <c r="LPX1365" s="76"/>
      <c r="LPY1365" s="76"/>
      <c r="LPZ1365" s="76"/>
      <c r="LQA1365" s="76"/>
      <c r="LQB1365" s="76"/>
      <c r="LQC1365" s="76"/>
      <c r="LQD1365" s="76"/>
      <c r="LQE1365" s="76"/>
      <c r="LQF1365" s="76"/>
      <c r="LQG1365" s="76"/>
      <c r="LQH1365" s="76"/>
      <c r="LQI1365" s="76"/>
      <c r="LQJ1365" s="76"/>
      <c r="LQK1365" s="76"/>
      <c r="LQL1365" s="76"/>
      <c r="LQM1365" s="76"/>
      <c r="LQN1365" s="76"/>
      <c r="LQO1365" s="76"/>
      <c r="LQP1365" s="76"/>
      <c r="LQQ1365" s="76"/>
      <c r="LQR1365" s="76"/>
      <c r="LQS1365" s="76"/>
      <c r="LQT1365" s="76"/>
      <c r="LQU1365" s="76"/>
      <c r="LQV1365" s="76"/>
      <c r="LQW1365" s="76"/>
      <c r="LQX1365" s="76"/>
      <c r="LQY1365" s="76"/>
      <c r="LQZ1365" s="76"/>
      <c r="LRA1365" s="76"/>
      <c r="LRB1365" s="76"/>
      <c r="LRC1365" s="76"/>
      <c r="LRD1365" s="76"/>
      <c r="LRE1365" s="76"/>
      <c r="LRF1365" s="76"/>
      <c r="LRG1365" s="76"/>
      <c r="LRH1365" s="76"/>
      <c r="LRI1365" s="76"/>
      <c r="LRJ1365" s="76"/>
      <c r="LRK1365" s="76"/>
      <c r="LRL1365" s="76"/>
      <c r="LRM1365" s="76"/>
      <c r="LRN1365" s="76"/>
      <c r="LRO1365" s="76"/>
      <c r="LRP1365" s="76"/>
      <c r="LRQ1365" s="76"/>
      <c r="LRR1365" s="76"/>
      <c r="LRS1365" s="76"/>
      <c r="LRT1365" s="76"/>
      <c r="LRU1365" s="76"/>
      <c r="LRV1365" s="76"/>
      <c r="LRW1365" s="76"/>
      <c r="LRX1365" s="76"/>
      <c r="LRY1365" s="76"/>
      <c r="LRZ1365" s="76"/>
      <c r="LSA1365" s="76"/>
      <c r="LSB1365" s="76"/>
      <c r="LSC1365" s="76"/>
      <c r="LSD1365" s="76"/>
      <c r="LSE1365" s="76"/>
      <c r="LSF1365" s="76"/>
      <c r="LSG1365" s="76"/>
      <c r="LSH1365" s="76"/>
      <c r="LSI1365" s="76"/>
      <c r="LSJ1365" s="76"/>
      <c r="LSK1365" s="76"/>
      <c r="LSL1365" s="76"/>
      <c r="LSM1365" s="76"/>
      <c r="LSN1365" s="76"/>
      <c r="LSO1365" s="76"/>
      <c r="LSP1365" s="76"/>
      <c r="LSQ1365" s="76"/>
      <c r="LSR1365" s="76"/>
      <c r="LSS1365" s="76"/>
      <c r="LST1365" s="76"/>
      <c r="LSU1365" s="76"/>
      <c r="LSV1365" s="76"/>
      <c r="LSW1365" s="76"/>
      <c r="LSX1365" s="76"/>
      <c r="LSY1365" s="76"/>
      <c r="LSZ1365" s="76"/>
      <c r="LTA1365" s="76"/>
      <c r="LTB1365" s="76"/>
      <c r="LTC1365" s="76"/>
      <c r="LTD1365" s="76"/>
      <c r="LTE1365" s="76"/>
      <c r="LTF1365" s="76"/>
      <c r="LTG1365" s="76"/>
      <c r="LTH1365" s="76"/>
      <c r="LTI1365" s="76"/>
      <c r="LTJ1365" s="76"/>
      <c r="LTK1365" s="76"/>
      <c r="LTL1365" s="76"/>
      <c r="LTM1365" s="76"/>
      <c r="LTN1365" s="76"/>
      <c r="LTO1365" s="76"/>
      <c r="LTP1365" s="76"/>
      <c r="LTQ1365" s="76"/>
      <c r="LTR1365" s="76"/>
      <c r="LTS1365" s="76"/>
      <c r="LTT1365" s="76"/>
      <c r="LTU1365" s="76"/>
      <c r="LTV1365" s="76"/>
      <c r="LTW1365" s="76"/>
      <c r="LTX1365" s="76"/>
      <c r="LTY1365" s="76"/>
      <c r="LTZ1365" s="76"/>
      <c r="LUA1365" s="76"/>
      <c r="LUB1365" s="76"/>
      <c r="LUC1365" s="76"/>
      <c r="LUD1365" s="76"/>
      <c r="LUE1365" s="76"/>
      <c r="LUF1365" s="76"/>
      <c r="LUG1365" s="76"/>
      <c r="LUH1365" s="76"/>
      <c r="LUI1365" s="76"/>
      <c r="LUJ1365" s="76"/>
      <c r="LUK1365" s="76"/>
      <c r="LUL1365" s="76"/>
      <c r="LUM1365" s="76"/>
      <c r="LUN1365" s="76"/>
      <c r="LUO1365" s="76"/>
      <c r="LUP1365" s="76"/>
      <c r="LUQ1365" s="76"/>
      <c r="LUR1365" s="76"/>
      <c r="LUS1365" s="76"/>
      <c r="LUT1365" s="76"/>
      <c r="LUU1365" s="76"/>
      <c r="LUV1365" s="76"/>
      <c r="LUW1365" s="76"/>
      <c r="LUX1365" s="76"/>
      <c r="LUY1365" s="76"/>
      <c r="LUZ1365" s="76"/>
      <c r="LVA1365" s="76"/>
      <c r="LVB1365" s="76"/>
      <c r="LVC1365" s="76"/>
      <c r="LVD1365" s="76"/>
      <c r="LVE1365" s="76"/>
      <c r="LVF1365" s="76"/>
      <c r="LVG1365" s="76"/>
      <c r="LVH1365" s="76"/>
      <c r="LVI1365" s="76"/>
      <c r="LVJ1365" s="76"/>
      <c r="LVK1365" s="76"/>
      <c r="LVL1365" s="76"/>
      <c r="LVM1365" s="76"/>
      <c r="LVN1365" s="76"/>
      <c r="LVO1365" s="76"/>
      <c r="LVP1365" s="76"/>
      <c r="LVQ1365" s="76"/>
      <c r="LVR1365" s="76"/>
      <c r="LVS1365" s="76"/>
      <c r="LVT1365" s="76"/>
      <c r="LVU1365" s="76"/>
      <c r="LVV1365" s="76"/>
      <c r="LVW1365" s="76"/>
      <c r="LVX1365" s="76"/>
      <c r="LVY1365" s="50"/>
      <c r="LVZ1365" s="76"/>
      <c r="LWA1365" s="76"/>
      <c r="LWB1365" s="76"/>
      <c r="LWC1365" s="76"/>
      <c r="LWD1365" s="76"/>
      <c r="LWE1365" s="76"/>
      <c r="LWF1365" s="76"/>
      <c r="LWG1365" s="76"/>
      <c r="LWH1365" s="76"/>
      <c r="LWI1365" s="76"/>
      <c r="LWJ1365" s="76"/>
      <c r="LWK1365" s="76"/>
      <c r="LWL1365" s="76"/>
      <c r="LWM1365" s="76"/>
      <c r="LWN1365" s="76"/>
      <c r="LWO1365" s="76"/>
      <c r="LWP1365" s="76"/>
      <c r="LWQ1365" s="76"/>
      <c r="LWR1365" s="76"/>
      <c r="LWS1365" s="76"/>
      <c r="LWT1365" s="76"/>
      <c r="LWU1365" s="76"/>
      <c r="LWV1365" s="76"/>
      <c r="LWW1365" s="76"/>
      <c r="LWX1365" s="76"/>
      <c r="LWY1365" s="76"/>
      <c r="LWZ1365" s="76"/>
      <c r="LXA1365" s="76"/>
      <c r="LXB1365" s="76"/>
      <c r="LXC1365" s="76"/>
      <c r="LXD1365" s="76"/>
      <c r="LXE1365" s="76"/>
      <c r="LXF1365" s="76"/>
      <c r="LXG1365" s="76"/>
      <c r="LXH1365" s="76"/>
      <c r="LXI1365" s="76"/>
      <c r="LXJ1365" s="76"/>
      <c r="LXK1365" s="76"/>
      <c r="LXL1365" s="76"/>
      <c r="LXM1365" s="76"/>
      <c r="LXN1365" s="76"/>
      <c r="LXO1365" s="76"/>
      <c r="LXP1365" s="76"/>
      <c r="LXQ1365" s="76"/>
      <c r="LXR1365" s="76"/>
      <c r="LXS1365" s="76"/>
      <c r="LXT1365" s="76"/>
      <c r="LXU1365" s="76"/>
      <c r="LXV1365" s="76"/>
      <c r="LXW1365" s="76"/>
      <c r="LXX1365" s="76"/>
      <c r="LXY1365" s="76"/>
      <c r="LXZ1365" s="76"/>
      <c r="LYA1365" s="76"/>
      <c r="LYB1365" s="76"/>
      <c r="LYC1365" s="76"/>
      <c r="LYD1365" s="76"/>
      <c r="LYE1365" s="76"/>
      <c r="LYF1365" s="76"/>
      <c r="LYG1365" s="76"/>
      <c r="LYH1365" s="76"/>
      <c r="LYI1365" s="76"/>
      <c r="LYJ1365" s="76"/>
      <c r="LYK1365" s="76"/>
      <c r="LYL1365" s="76"/>
      <c r="LYM1365" s="76"/>
      <c r="LYN1365" s="76"/>
      <c r="LYO1365" s="76"/>
      <c r="LYP1365" s="76"/>
      <c r="LYQ1365" s="76"/>
      <c r="LYR1365" s="76"/>
      <c r="LYS1365" s="76"/>
      <c r="LYT1365" s="76"/>
      <c r="LYU1365" s="76"/>
      <c r="LYV1365" s="76"/>
      <c r="LYW1365" s="76"/>
      <c r="LYX1365" s="76"/>
      <c r="LYY1365" s="76"/>
      <c r="LYZ1365" s="76"/>
      <c r="LZA1365" s="76"/>
      <c r="LZB1365" s="76"/>
      <c r="LZC1365" s="76"/>
      <c r="LZD1365" s="76"/>
      <c r="LZE1365" s="76"/>
      <c r="LZF1365" s="76"/>
      <c r="LZG1365" s="76"/>
      <c r="LZH1365" s="76"/>
      <c r="LZI1365" s="76"/>
      <c r="LZJ1365" s="76"/>
      <c r="LZK1365" s="76"/>
      <c r="LZL1365" s="76"/>
      <c r="LZM1365" s="76"/>
      <c r="LZN1365" s="76"/>
      <c r="LZO1365" s="76"/>
      <c r="LZP1365" s="76"/>
      <c r="LZQ1365" s="76"/>
      <c r="LZR1365" s="76"/>
      <c r="LZS1365" s="76"/>
      <c r="LZT1365" s="76"/>
      <c r="LZU1365" s="76"/>
      <c r="LZV1365" s="76"/>
      <c r="LZW1365" s="76"/>
      <c r="LZX1365" s="76"/>
      <c r="LZY1365" s="76"/>
      <c r="LZZ1365" s="76"/>
      <c r="MAA1365" s="76"/>
      <c r="MAB1365" s="76"/>
      <c r="MAC1365" s="76"/>
      <c r="MAD1365" s="76"/>
      <c r="MAE1365" s="76"/>
      <c r="MAF1365" s="76"/>
      <c r="MAG1365" s="76"/>
      <c r="MAH1365" s="76"/>
      <c r="MAI1365" s="76"/>
      <c r="MAJ1365" s="76"/>
      <c r="MAK1365" s="76"/>
      <c r="MAL1365" s="76"/>
      <c r="MAM1365" s="76"/>
      <c r="MAN1365" s="76"/>
      <c r="MAO1365" s="76"/>
      <c r="MAP1365" s="76"/>
      <c r="MAQ1365" s="76"/>
      <c r="MAR1365" s="76"/>
      <c r="MAS1365" s="76"/>
      <c r="MAT1365" s="76"/>
      <c r="MAU1365" s="76"/>
      <c r="MAV1365" s="76"/>
      <c r="MAW1365" s="76"/>
      <c r="MAX1365" s="76"/>
      <c r="MAY1365" s="76"/>
      <c r="MAZ1365" s="76"/>
      <c r="MBA1365" s="76"/>
      <c r="MBB1365" s="76"/>
      <c r="MBC1365" s="76"/>
      <c r="MBD1365" s="76"/>
      <c r="MBE1365" s="76"/>
      <c r="MBF1365" s="76"/>
      <c r="MBG1365" s="76"/>
      <c r="MBH1365" s="76"/>
      <c r="MBI1365" s="76"/>
      <c r="MBJ1365" s="76"/>
      <c r="MBK1365" s="76"/>
      <c r="MBL1365" s="76"/>
      <c r="MBM1365" s="76"/>
      <c r="MBN1365" s="76"/>
      <c r="MBO1365" s="76"/>
      <c r="MBP1365" s="76"/>
      <c r="MBQ1365" s="76"/>
      <c r="MBR1365" s="76"/>
      <c r="MBS1365" s="76"/>
      <c r="MBT1365" s="76"/>
      <c r="MBU1365" s="76"/>
      <c r="MBV1365" s="76"/>
      <c r="MBW1365" s="76"/>
      <c r="MBX1365" s="76"/>
      <c r="MBY1365" s="76"/>
      <c r="MBZ1365" s="76"/>
      <c r="MCA1365" s="76"/>
      <c r="MCB1365" s="76"/>
      <c r="MCC1365" s="76"/>
      <c r="MCD1365" s="76"/>
      <c r="MCE1365" s="76"/>
      <c r="MCF1365" s="76"/>
      <c r="MCG1365" s="76"/>
      <c r="MCH1365" s="76"/>
      <c r="MCI1365" s="76"/>
      <c r="MCJ1365" s="76"/>
      <c r="MCK1365" s="76"/>
      <c r="MCL1365" s="76"/>
      <c r="MCM1365" s="76"/>
      <c r="MCN1365" s="76"/>
      <c r="MCO1365" s="76"/>
      <c r="MCP1365" s="76"/>
      <c r="MCQ1365" s="76"/>
      <c r="MCR1365" s="76"/>
      <c r="MCS1365" s="76"/>
      <c r="MCT1365" s="76"/>
      <c r="MCU1365" s="76"/>
      <c r="MCV1365" s="76"/>
      <c r="MCW1365" s="76"/>
      <c r="MCX1365" s="76"/>
      <c r="MCY1365" s="76"/>
      <c r="MCZ1365" s="76"/>
      <c r="MDA1365" s="76"/>
      <c r="MDB1365" s="76"/>
      <c r="MDC1365" s="76"/>
      <c r="MDD1365" s="76"/>
      <c r="MDE1365" s="76"/>
      <c r="MDF1365" s="76"/>
      <c r="MDG1365" s="76"/>
      <c r="MDH1365" s="76"/>
      <c r="MDI1365" s="76"/>
      <c r="MDJ1365" s="76"/>
      <c r="MDK1365" s="76"/>
      <c r="MDL1365" s="76"/>
      <c r="MDM1365" s="76"/>
      <c r="MDN1365" s="76"/>
      <c r="MDO1365" s="76"/>
      <c r="MDP1365" s="76"/>
      <c r="MDQ1365" s="76"/>
      <c r="MDR1365" s="76"/>
      <c r="MDS1365" s="76"/>
      <c r="MDT1365" s="76"/>
      <c r="MDU1365" s="76"/>
      <c r="MDV1365" s="76"/>
      <c r="MDW1365" s="76"/>
      <c r="MDX1365" s="76"/>
      <c r="MDY1365" s="76"/>
      <c r="MDZ1365" s="76"/>
      <c r="MEA1365" s="76"/>
      <c r="MEB1365" s="76"/>
      <c r="MEC1365" s="76"/>
      <c r="MED1365" s="76"/>
      <c r="MEE1365" s="76"/>
      <c r="MEF1365" s="76"/>
      <c r="MEG1365" s="76"/>
      <c r="MEH1365" s="76"/>
      <c r="MEI1365" s="76"/>
      <c r="MEJ1365" s="76"/>
      <c r="MEK1365" s="76"/>
      <c r="MEL1365" s="76"/>
      <c r="MEM1365" s="76"/>
      <c r="MEN1365" s="76"/>
      <c r="MEO1365" s="76"/>
      <c r="MEP1365" s="76"/>
      <c r="MEQ1365" s="76"/>
      <c r="MER1365" s="76"/>
      <c r="MES1365" s="76"/>
      <c r="MET1365" s="76"/>
      <c r="MEU1365" s="76"/>
      <c r="MEV1365" s="76"/>
      <c r="MEW1365" s="76"/>
      <c r="MEX1365" s="76"/>
      <c r="MEY1365" s="76"/>
      <c r="MEZ1365" s="76"/>
      <c r="MFA1365" s="76"/>
      <c r="MFB1365" s="76"/>
      <c r="MFC1365" s="76"/>
      <c r="MFD1365" s="76"/>
      <c r="MFE1365" s="76"/>
      <c r="MFF1365" s="76"/>
      <c r="MFG1365" s="76"/>
      <c r="MFH1365" s="76"/>
      <c r="MFI1365" s="76"/>
      <c r="MFJ1365" s="76"/>
      <c r="MFK1365" s="76"/>
      <c r="MFL1365" s="76"/>
      <c r="MFM1365" s="76"/>
      <c r="MFN1365" s="76"/>
      <c r="MFO1365" s="76"/>
      <c r="MFP1365" s="76"/>
      <c r="MFQ1365" s="76"/>
      <c r="MFR1365" s="76"/>
      <c r="MFS1365" s="76"/>
      <c r="MFT1365" s="76"/>
      <c r="MFU1365" s="50"/>
      <c r="MFV1365" s="76"/>
      <c r="MFW1365" s="76"/>
      <c r="MFX1365" s="76"/>
      <c r="MFY1365" s="76"/>
      <c r="MFZ1365" s="76"/>
      <c r="MGA1365" s="76"/>
      <c r="MGB1365" s="76"/>
      <c r="MGC1365" s="76"/>
      <c r="MGD1365" s="76"/>
      <c r="MGE1365" s="76"/>
      <c r="MGF1365" s="76"/>
      <c r="MGG1365" s="76"/>
      <c r="MGH1365" s="76"/>
      <c r="MGI1365" s="76"/>
      <c r="MGJ1365" s="76"/>
      <c r="MGK1365" s="76"/>
      <c r="MGL1365" s="76"/>
      <c r="MGM1365" s="76"/>
      <c r="MGN1365" s="76"/>
      <c r="MGO1365" s="76"/>
      <c r="MGP1365" s="76"/>
      <c r="MGQ1365" s="76"/>
      <c r="MGR1365" s="76"/>
      <c r="MGS1365" s="76"/>
      <c r="MGT1365" s="76"/>
      <c r="MGU1365" s="76"/>
      <c r="MGV1365" s="76"/>
      <c r="MGW1365" s="76"/>
      <c r="MGX1365" s="76"/>
      <c r="MGY1365" s="76"/>
      <c r="MGZ1365" s="76"/>
      <c r="MHA1365" s="76"/>
      <c r="MHB1365" s="76"/>
      <c r="MHC1365" s="76"/>
      <c r="MHD1365" s="76"/>
      <c r="MHE1365" s="76"/>
      <c r="MHF1365" s="76"/>
      <c r="MHG1365" s="76"/>
      <c r="MHH1365" s="76"/>
      <c r="MHI1365" s="76"/>
      <c r="MHJ1365" s="76"/>
      <c r="MHK1365" s="76"/>
      <c r="MHL1365" s="76"/>
      <c r="MHM1365" s="76"/>
      <c r="MHN1365" s="76"/>
      <c r="MHO1365" s="76"/>
      <c r="MHP1365" s="76"/>
      <c r="MHQ1365" s="76"/>
      <c r="MHR1365" s="76"/>
      <c r="MHS1365" s="76"/>
      <c r="MHT1365" s="76"/>
      <c r="MHU1365" s="76"/>
      <c r="MHV1365" s="76"/>
      <c r="MHW1365" s="76"/>
      <c r="MHX1365" s="76"/>
      <c r="MHY1365" s="76"/>
      <c r="MHZ1365" s="76"/>
      <c r="MIA1365" s="76"/>
      <c r="MIB1365" s="76"/>
      <c r="MIC1365" s="76"/>
      <c r="MID1365" s="76"/>
      <c r="MIE1365" s="76"/>
      <c r="MIF1365" s="76"/>
      <c r="MIG1365" s="76"/>
      <c r="MIH1365" s="76"/>
      <c r="MII1365" s="76"/>
      <c r="MIJ1365" s="76"/>
      <c r="MIK1365" s="76"/>
      <c r="MIL1365" s="76"/>
      <c r="MIM1365" s="76"/>
      <c r="MIN1365" s="76"/>
      <c r="MIO1365" s="76"/>
      <c r="MIP1365" s="76"/>
      <c r="MIQ1365" s="76"/>
      <c r="MIR1365" s="76"/>
      <c r="MIS1365" s="76"/>
      <c r="MIT1365" s="76"/>
      <c r="MIU1365" s="76"/>
      <c r="MIV1365" s="76"/>
      <c r="MIW1365" s="76"/>
      <c r="MIX1365" s="76"/>
      <c r="MIY1365" s="76"/>
      <c r="MIZ1365" s="76"/>
      <c r="MJA1365" s="76"/>
      <c r="MJB1365" s="76"/>
      <c r="MJC1365" s="76"/>
      <c r="MJD1365" s="76"/>
      <c r="MJE1365" s="76"/>
      <c r="MJF1365" s="76"/>
      <c r="MJG1365" s="76"/>
      <c r="MJH1365" s="76"/>
      <c r="MJI1365" s="76"/>
      <c r="MJJ1365" s="76"/>
      <c r="MJK1365" s="76"/>
      <c r="MJL1365" s="76"/>
      <c r="MJM1365" s="76"/>
      <c r="MJN1365" s="76"/>
      <c r="MJO1365" s="76"/>
      <c r="MJP1365" s="76"/>
      <c r="MJQ1365" s="76"/>
      <c r="MJR1365" s="76"/>
      <c r="MJS1365" s="76"/>
      <c r="MJT1365" s="76"/>
      <c r="MJU1365" s="76"/>
      <c r="MJV1365" s="76"/>
      <c r="MJW1365" s="76"/>
      <c r="MJX1365" s="76"/>
      <c r="MJY1365" s="76"/>
      <c r="MJZ1365" s="76"/>
      <c r="MKA1365" s="76"/>
      <c r="MKB1365" s="76"/>
      <c r="MKC1365" s="76"/>
      <c r="MKD1365" s="76"/>
      <c r="MKE1365" s="76"/>
      <c r="MKF1365" s="76"/>
      <c r="MKG1365" s="76"/>
      <c r="MKH1365" s="76"/>
      <c r="MKI1365" s="76"/>
      <c r="MKJ1365" s="76"/>
      <c r="MKK1365" s="76"/>
      <c r="MKL1365" s="76"/>
      <c r="MKM1365" s="76"/>
      <c r="MKN1365" s="76"/>
      <c r="MKO1365" s="76"/>
      <c r="MKP1365" s="76"/>
      <c r="MKQ1365" s="76"/>
      <c r="MKR1365" s="76"/>
      <c r="MKS1365" s="76"/>
      <c r="MKT1365" s="76"/>
      <c r="MKU1365" s="76"/>
      <c r="MKV1365" s="76"/>
      <c r="MKW1365" s="76"/>
      <c r="MKX1365" s="76"/>
      <c r="MKY1365" s="76"/>
      <c r="MKZ1365" s="76"/>
      <c r="MLA1365" s="76"/>
      <c r="MLB1365" s="76"/>
      <c r="MLC1365" s="76"/>
      <c r="MLD1365" s="76"/>
      <c r="MLE1365" s="76"/>
      <c r="MLF1365" s="76"/>
      <c r="MLG1365" s="76"/>
      <c r="MLH1365" s="76"/>
      <c r="MLI1365" s="76"/>
      <c r="MLJ1365" s="76"/>
      <c r="MLK1365" s="76"/>
      <c r="MLL1365" s="76"/>
      <c r="MLM1365" s="76"/>
      <c r="MLN1365" s="76"/>
      <c r="MLO1365" s="76"/>
      <c r="MLP1365" s="76"/>
      <c r="MLQ1365" s="76"/>
      <c r="MLR1365" s="76"/>
      <c r="MLS1365" s="76"/>
      <c r="MLT1365" s="76"/>
      <c r="MLU1365" s="76"/>
      <c r="MLV1365" s="76"/>
      <c r="MLW1365" s="76"/>
      <c r="MLX1365" s="76"/>
      <c r="MLY1365" s="76"/>
      <c r="MLZ1365" s="76"/>
      <c r="MMA1365" s="76"/>
      <c r="MMB1365" s="76"/>
      <c r="MMC1365" s="76"/>
      <c r="MMD1365" s="76"/>
      <c r="MME1365" s="76"/>
      <c r="MMF1365" s="76"/>
      <c r="MMG1365" s="76"/>
      <c r="MMH1365" s="76"/>
      <c r="MMI1365" s="76"/>
      <c r="MMJ1365" s="76"/>
      <c r="MMK1365" s="76"/>
      <c r="MML1365" s="76"/>
      <c r="MMM1365" s="76"/>
      <c r="MMN1365" s="76"/>
      <c r="MMO1365" s="76"/>
      <c r="MMP1365" s="76"/>
      <c r="MMQ1365" s="76"/>
      <c r="MMR1365" s="76"/>
      <c r="MMS1365" s="76"/>
      <c r="MMT1365" s="76"/>
      <c r="MMU1365" s="76"/>
      <c r="MMV1365" s="76"/>
      <c r="MMW1365" s="76"/>
      <c r="MMX1365" s="76"/>
      <c r="MMY1365" s="76"/>
      <c r="MMZ1365" s="76"/>
      <c r="MNA1365" s="76"/>
      <c r="MNB1365" s="76"/>
      <c r="MNC1365" s="76"/>
      <c r="MND1365" s="76"/>
      <c r="MNE1365" s="76"/>
      <c r="MNF1365" s="76"/>
      <c r="MNG1365" s="76"/>
      <c r="MNH1365" s="76"/>
      <c r="MNI1365" s="76"/>
      <c r="MNJ1365" s="76"/>
      <c r="MNK1365" s="76"/>
      <c r="MNL1365" s="76"/>
      <c r="MNM1365" s="76"/>
      <c r="MNN1365" s="76"/>
      <c r="MNO1365" s="76"/>
      <c r="MNP1365" s="76"/>
      <c r="MNQ1365" s="76"/>
      <c r="MNR1365" s="76"/>
      <c r="MNS1365" s="76"/>
      <c r="MNT1365" s="76"/>
      <c r="MNU1365" s="76"/>
      <c r="MNV1365" s="76"/>
      <c r="MNW1365" s="76"/>
      <c r="MNX1365" s="76"/>
      <c r="MNY1365" s="76"/>
      <c r="MNZ1365" s="76"/>
      <c r="MOA1365" s="76"/>
      <c r="MOB1365" s="76"/>
      <c r="MOC1365" s="76"/>
      <c r="MOD1365" s="76"/>
      <c r="MOE1365" s="76"/>
      <c r="MOF1365" s="76"/>
      <c r="MOG1365" s="76"/>
      <c r="MOH1365" s="76"/>
      <c r="MOI1365" s="76"/>
      <c r="MOJ1365" s="76"/>
      <c r="MOK1365" s="76"/>
      <c r="MOL1365" s="76"/>
      <c r="MOM1365" s="76"/>
      <c r="MON1365" s="76"/>
      <c r="MOO1365" s="76"/>
      <c r="MOP1365" s="76"/>
      <c r="MOQ1365" s="76"/>
      <c r="MOR1365" s="76"/>
      <c r="MOS1365" s="76"/>
      <c r="MOT1365" s="76"/>
      <c r="MOU1365" s="76"/>
      <c r="MOV1365" s="76"/>
      <c r="MOW1365" s="76"/>
      <c r="MOX1365" s="76"/>
      <c r="MOY1365" s="76"/>
      <c r="MOZ1365" s="76"/>
      <c r="MPA1365" s="76"/>
      <c r="MPB1365" s="76"/>
      <c r="MPC1365" s="76"/>
      <c r="MPD1365" s="76"/>
      <c r="MPE1365" s="76"/>
      <c r="MPF1365" s="76"/>
      <c r="MPG1365" s="76"/>
      <c r="MPH1365" s="76"/>
      <c r="MPI1365" s="76"/>
      <c r="MPJ1365" s="76"/>
      <c r="MPK1365" s="76"/>
      <c r="MPL1365" s="76"/>
      <c r="MPM1365" s="76"/>
      <c r="MPN1365" s="76"/>
      <c r="MPO1365" s="76"/>
      <c r="MPP1365" s="76"/>
      <c r="MPQ1365" s="50"/>
      <c r="MPR1365" s="76"/>
      <c r="MPS1365" s="76"/>
      <c r="MPT1365" s="76"/>
      <c r="MPU1365" s="76"/>
      <c r="MPV1365" s="76"/>
      <c r="MPW1365" s="76"/>
      <c r="MPX1365" s="76"/>
      <c r="MPY1365" s="76"/>
      <c r="MPZ1365" s="76"/>
      <c r="MQA1365" s="76"/>
      <c r="MQB1365" s="76"/>
      <c r="MQC1365" s="76"/>
      <c r="MQD1365" s="76"/>
      <c r="MQE1365" s="76"/>
      <c r="MQF1365" s="76"/>
      <c r="MQG1365" s="76"/>
      <c r="MQH1365" s="76"/>
      <c r="MQI1365" s="76"/>
      <c r="MQJ1365" s="76"/>
      <c r="MQK1365" s="76"/>
      <c r="MQL1365" s="76"/>
      <c r="MQM1365" s="76"/>
      <c r="MQN1365" s="76"/>
      <c r="MQO1365" s="76"/>
      <c r="MQP1365" s="76"/>
      <c r="MQQ1365" s="76"/>
      <c r="MQR1365" s="76"/>
      <c r="MQS1365" s="76"/>
      <c r="MQT1365" s="76"/>
      <c r="MQU1365" s="76"/>
      <c r="MQV1365" s="76"/>
      <c r="MQW1365" s="76"/>
      <c r="MQX1365" s="76"/>
      <c r="MQY1365" s="76"/>
      <c r="MQZ1365" s="76"/>
      <c r="MRA1365" s="76"/>
      <c r="MRB1365" s="76"/>
      <c r="MRC1365" s="76"/>
      <c r="MRD1365" s="76"/>
      <c r="MRE1365" s="76"/>
      <c r="MRF1365" s="76"/>
      <c r="MRG1365" s="76"/>
      <c r="MRH1365" s="76"/>
      <c r="MRI1365" s="76"/>
      <c r="MRJ1365" s="76"/>
      <c r="MRK1365" s="76"/>
      <c r="MRL1365" s="76"/>
      <c r="MRM1365" s="76"/>
      <c r="MRN1365" s="76"/>
      <c r="MRO1365" s="76"/>
      <c r="MRP1365" s="76"/>
      <c r="MRQ1365" s="76"/>
      <c r="MRR1365" s="76"/>
      <c r="MRS1365" s="76"/>
      <c r="MRT1365" s="76"/>
      <c r="MRU1365" s="76"/>
      <c r="MRV1365" s="76"/>
      <c r="MRW1365" s="76"/>
      <c r="MRX1365" s="76"/>
      <c r="MRY1365" s="76"/>
      <c r="MRZ1365" s="76"/>
      <c r="MSA1365" s="76"/>
      <c r="MSB1365" s="76"/>
      <c r="MSC1365" s="76"/>
      <c r="MSD1365" s="76"/>
      <c r="MSE1365" s="76"/>
      <c r="MSF1365" s="76"/>
      <c r="MSG1365" s="76"/>
      <c r="MSH1365" s="76"/>
      <c r="MSI1365" s="76"/>
      <c r="MSJ1365" s="76"/>
      <c r="MSK1365" s="76"/>
      <c r="MSL1365" s="76"/>
      <c r="MSM1365" s="76"/>
      <c r="MSN1365" s="76"/>
      <c r="MSO1365" s="76"/>
      <c r="MSP1365" s="76"/>
      <c r="MSQ1365" s="76"/>
      <c r="MSR1365" s="76"/>
      <c r="MSS1365" s="76"/>
      <c r="MST1365" s="76"/>
      <c r="MSU1365" s="76"/>
      <c r="MSV1365" s="76"/>
      <c r="MSW1365" s="76"/>
      <c r="MSX1365" s="76"/>
      <c r="MSY1365" s="76"/>
      <c r="MSZ1365" s="76"/>
      <c r="MTA1365" s="76"/>
      <c r="MTB1365" s="76"/>
      <c r="MTC1365" s="76"/>
      <c r="MTD1365" s="76"/>
      <c r="MTE1365" s="76"/>
      <c r="MTF1365" s="76"/>
      <c r="MTG1365" s="76"/>
      <c r="MTH1365" s="76"/>
      <c r="MTI1365" s="76"/>
      <c r="MTJ1365" s="76"/>
      <c r="MTK1365" s="76"/>
      <c r="MTL1365" s="76"/>
      <c r="MTM1365" s="76"/>
      <c r="MTN1365" s="76"/>
      <c r="MTO1365" s="76"/>
      <c r="MTP1365" s="76"/>
      <c r="MTQ1365" s="76"/>
      <c r="MTR1365" s="76"/>
      <c r="MTS1365" s="76"/>
      <c r="MTT1365" s="76"/>
      <c r="MTU1365" s="76"/>
      <c r="MTV1365" s="76"/>
      <c r="MTW1365" s="76"/>
      <c r="MTX1365" s="76"/>
      <c r="MTY1365" s="76"/>
      <c r="MTZ1365" s="76"/>
      <c r="MUA1365" s="76"/>
      <c r="MUB1365" s="76"/>
      <c r="MUC1365" s="76"/>
      <c r="MUD1365" s="76"/>
      <c r="MUE1365" s="76"/>
      <c r="MUF1365" s="76"/>
      <c r="MUG1365" s="76"/>
      <c r="MUH1365" s="76"/>
      <c r="MUI1365" s="76"/>
      <c r="MUJ1365" s="76"/>
      <c r="MUK1365" s="76"/>
      <c r="MUL1365" s="76"/>
      <c r="MUM1365" s="76"/>
      <c r="MUN1365" s="76"/>
      <c r="MUO1365" s="76"/>
      <c r="MUP1365" s="76"/>
      <c r="MUQ1365" s="76"/>
      <c r="MUR1365" s="76"/>
      <c r="MUS1365" s="76"/>
      <c r="MUT1365" s="76"/>
      <c r="MUU1365" s="76"/>
      <c r="MUV1365" s="76"/>
      <c r="MUW1365" s="76"/>
      <c r="MUX1365" s="76"/>
      <c r="MUY1365" s="76"/>
      <c r="MUZ1365" s="76"/>
      <c r="MVA1365" s="76"/>
      <c r="MVB1365" s="76"/>
      <c r="MVC1365" s="76"/>
      <c r="MVD1365" s="76"/>
      <c r="MVE1365" s="76"/>
      <c r="MVF1365" s="76"/>
      <c r="MVG1365" s="76"/>
      <c r="MVH1365" s="76"/>
      <c r="MVI1365" s="76"/>
      <c r="MVJ1365" s="76"/>
      <c r="MVK1365" s="76"/>
      <c r="MVL1365" s="76"/>
      <c r="MVM1365" s="76"/>
      <c r="MVN1365" s="76"/>
      <c r="MVO1365" s="76"/>
      <c r="MVP1365" s="76"/>
      <c r="MVQ1365" s="76"/>
      <c r="MVR1365" s="76"/>
      <c r="MVS1365" s="76"/>
      <c r="MVT1365" s="76"/>
      <c r="MVU1365" s="76"/>
      <c r="MVV1365" s="76"/>
      <c r="MVW1365" s="76"/>
      <c r="MVX1365" s="76"/>
      <c r="MVY1365" s="76"/>
      <c r="MVZ1365" s="76"/>
      <c r="MWA1365" s="76"/>
      <c r="MWB1365" s="76"/>
      <c r="MWC1365" s="76"/>
      <c r="MWD1365" s="76"/>
      <c r="MWE1365" s="76"/>
      <c r="MWF1365" s="76"/>
      <c r="MWG1365" s="76"/>
      <c r="MWH1365" s="76"/>
      <c r="MWI1365" s="76"/>
      <c r="MWJ1365" s="76"/>
      <c r="MWK1365" s="76"/>
      <c r="MWL1365" s="76"/>
      <c r="MWM1365" s="76"/>
      <c r="MWN1365" s="76"/>
      <c r="MWO1365" s="76"/>
      <c r="MWP1365" s="76"/>
      <c r="MWQ1365" s="76"/>
      <c r="MWR1365" s="76"/>
      <c r="MWS1365" s="76"/>
      <c r="MWT1365" s="76"/>
      <c r="MWU1365" s="76"/>
      <c r="MWV1365" s="76"/>
      <c r="MWW1365" s="76"/>
      <c r="MWX1365" s="76"/>
      <c r="MWY1365" s="76"/>
      <c r="MWZ1365" s="76"/>
      <c r="MXA1365" s="76"/>
      <c r="MXB1365" s="76"/>
      <c r="MXC1365" s="76"/>
      <c r="MXD1365" s="76"/>
      <c r="MXE1365" s="76"/>
      <c r="MXF1365" s="76"/>
      <c r="MXG1365" s="76"/>
      <c r="MXH1365" s="76"/>
      <c r="MXI1365" s="76"/>
      <c r="MXJ1365" s="76"/>
      <c r="MXK1365" s="76"/>
      <c r="MXL1365" s="76"/>
      <c r="MXM1365" s="76"/>
      <c r="MXN1365" s="76"/>
      <c r="MXO1365" s="76"/>
      <c r="MXP1365" s="76"/>
      <c r="MXQ1365" s="76"/>
      <c r="MXR1365" s="76"/>
      <c r="MXS1365" s="76"/>
      <c r="MXT1365" s="76"/>
      <c r="MXU1365" s="76"/>
      <c r="MXV1365" s="76"/>
      <c r="MXW1365" s="76"/>
      <c r="MXX1365" s="76"/>
      <c r="MXY1365" s="76"/>
      <c r="MXZ1365" s="76"/>
      <c r="MYA1365" s="76"/>
      <c r="MYB1365" s="76"/>
      <c r="MYC1365" s="76"/>
      <c r="MYD1365" s="76"/>
      <c r="MYE1365" s="76"/>
      <c r="MYF1365" s="76"/>
      <c r="MYG1365" s="76"/>
      <c r="MYH1365" s="76"/>
      <c r="MYI1365" s="76"/>
      <c r="MYJ1365" s="76"/>
      <c r="MYK1365" s="76"/>
      <c r="MYL1365" s="76"/>
      <c r="MYM1365" s="76"/>
      <c r="MYN1365" s="76"/>
      <c r="MYO1365" s="76"/>
      <c r="MYP1365" s="76"/>
      <c r="MYQ1365" s="76"/>
      <c r="MYR1365" s="76"/>
      <c r="MYS1365" s="76"/>
      <c r="MYT1365" s="76"/>
      <c r="MYU1365" s="76"/>
      <c r="MYV1365" s="76"/>
      <c r="MYW1365" s="76"/>
      <c r="MYX1365" s="76"/>
      <c r="MYY1365" s="76"/>
      <c r="MYZ1365" s="76"/>
      <c r="MZA1365" s="76"/>
      <c r="MZB1365" s="76"/>
      <c r="MZC1365" s="76"/>
      <c r="MZD1365" s="76"/>
      <c r="MZE1365" s="76"/>
      <c r="MZF1365" s="76"/>
      <c r="MZG1365" s="76"/>
      <c r="MZH1365" s="76"/>
      <c r="MZI1365" s="76"/>
      <c r="MZJ1365" s="76"/>
      <c r="MZK1365" s="76"/>
      <c r="MZL1365" s="76"/>
      <c r="MZM1365" s="50"/>
      <c r="MZN1365" s="76"/>
      <c r="MZO1365" s="76"/>
      <c r="MZP1365" s="76"/>
      <c r="MZQ1365" s="76"/>
      <c r="MZR1365" s="76"/>
      <c r="MZS1365" s="76"/>
      <c r="MZT1365" s="76"/>
      <c r="MZU1365" s="76"/>
      <c r="MZV1365" s="76"/>
      <c r="MZW1365" s="76"/>
      <c r="MZX1365" s="76"/>
      <c r="MZY1365" s="76"/>
      <c r="MZZ1365" s="76"/>
      <c r="NAA1365" s="76"/>
      <c r="NAB1365" s="76"/>
      <c r="NAC1365" s="76"/>
      <c r="NAD1365" s="76"/>
      <c r="NAE1365" s="76"/>
      <c r="NAF1365" s="76"/>
      <c r="NAG1365" s="76"/>
      <c r="NAH1365" s="76"/>
      <c r="NAI1365" s="76"/>
      <c r="NAJ1365" s="76"/>
      <c r="NAK1365" s="76"/>
      <c r="NAL1365" s="76"/>
      <c r="NAM1365" s="76"/>
      <c r="NAN1365" s="76"/>
      <c r="NAO1365" s="76"/>
      <c r="NAP1365" s="76"/>
      <c r="NAQ1365" s="76"/>
      <c r="NAR1365" s="76"/>
      <c r="NAS1365" s="76"/>
      <c r="NAT1365" s="76"/>
      <c r="NAU1365" s="76"/>
      <c r="NAV1365" s="76"/>
      <c r="NAW1365" s="76"/>
      <c r="NAX1365" s="76"/>
      <c r="NAY1365" s="76"/>
      <c r="NAZ1365" s="76"/>
      <c r="NBA1365" s="76"/>
      <c r="NBB1365" s="76"/>
      <c r="NBC1365" s="76"/>
      <c r="NBD1365" s="76"/>
      <c r="NBE1365" s="76"/>
      <c r="NBF1365" s="76"/>
      <c r="NBG1365" s="76"/>
      <c r="NBH1365" s="76"/>
      <c r="NBI1365" s="76"/>
      <c r="NBJ1365" s="76"/>
      <c r="NBK1365" s="76"/>
      <c r="NBL1365" s="76"/>
      <c r="NBM1365" s="76"/>
      <c r="NBN1365" s="76"/>
      <c r="NBO1365" s="76"/>
      <c r="NBP1365" s="76"/>
      <c r="NBQ1365" s="76"/>
      <c r="NBR1365" s="76"/>
      <c r="NBS1365" s="76"/>
      <c r="NBT1365" s="76"/>
      <c r="NBU1365" s="76"/>
      <c r="NBV1365" s="76"/>
      <c r="NBW1365" s="76"/>
      <c r="NBX1365" s="76"/>
      <c r="NBY1365" s="76"/>
      <c r="NBZ1365" s="76"/>
      <c r="NCA1365" s="76"/>
      <c r="NCB1365" s="76"/>
      <c r="NCC1365" s="76"/>
      <c r="NCD1365" s="76"/>
      <c r="NCE1365" s="76"/>
      <c r="NCF1365" s="76"/>
      <c r="NCG1365" s="76"/>
      <c r="NCH1365" s="76"/>
      <c r="NCI1365" s="76"/>
      <c r="NCJ1365" s="76"/>
      <c r="NCK1365" s="76"/>
      <c r="NCL1365" s="76"/>
      <c r="NCM1365" s="76"/>
      <c r="NCN1365" s="76"/>
      <c r="NCO1365" s="76"/>
      <c r="NCP1365" s="76"/>
      <c r="NCQ1365" s="76"/>
      <c r="NCR1365" s="76"/>
      <c r="NCS1365" s="76"/>
      <c r="NCT1365" s="76"/>
      <c r="NCU1365" s="76"/>
      <c r="NCV1365" s="76"/>
      <c r="NCW1365" s="76"/>
      <c r="NCX1365" s="76"/>
      <c r="NCY1365" s="76"/>
      <c r="NCZ1365" s="76"/>
      <c r="NDA1365" s="76"/>
      <c r="NDB1365" s="76"/>
      <c r="NDC1365" s="76"/>
      <c r="NDD1365" s="76"/>
      <c r="NDE1365" s="76"/>
      <c r="NDF1365" s="76"/>
      <c r="NDG1365" s="76"/>
      <c r="NDH1365" s="76"/>
      <c r="NDI1365" s="76"/>
      <c r="NDJ1365" s="76"/>
      <c r="NDK1365" s="76"/>
      <c r="NDL1365" s="76"/>
      <c r="NDM1365" s="76"/>
      <c r="NDN1365" s="76"/>
      <c r="NDO1365" s="76"/>
      <c r="NDP1365" s="76"/>
      <c r="NDQ1365" s="76"/>
      <c r="NDR1365" s="76"/>
      <c r="NDS1365" s="76"/>
      <c r="NDT1365" s="76"/>
      <c r="NDU1365" s="76"/>
      <c r="NDV1365" s="76"/>
      <c r="NDW1365" s="76"/>
      <c r="NDX1365" s="76"/>
      <c r="NDY1365" s="76"/>
      <c r="NDZ1365" s="76"/>
      <c r="NEA1365" s="76"/>
      <c r="NEB1365" s="76"/>
      <c r="NEC1365" s="76"/>
      <c r="NED1365" s="76"/>
      <c r="NEE1365" s="76"/>
      <c r="NEF1365" s="76"/>
      <c r="NEG1365" s="76"/>
      <c r="NEH1365" s="76"/>
      <c r="NEI1365" s="76"/>
      <c r="NEJ1365" s="76"/>
      <c r="NEK1365" s="76"/>
      <c r="NEL1365" s="76"/>
      <c r="NEM1365" s="76"/>
      <c r="NEN1365" s="76"/>
      <c r="NEO1365" s="76"/>
      <c r="NEP1365" s="76"/>
      <c r="NEQ1365" s="76"/>
      <c r="NER1365" s="76"/>
      <c r="NES1365" s="76"/>
      <c r="NET1365" s="76"/>
      <c r="NEU1365" s="76"/>
      <c r="NEV1365" s="76"/>
      <c r="NEW1365" s="76"/>
      <c r="NEX1365" s="76"/>
      <c r="NEY1365" s="76"/>
      <c r="NEZ1365" s="76"/>
      <c r="NFA1365" s="76"/>
      <c r="NFB1365" s="76"/>
      <c r="NFC1365" s="76"/>
      <c r="NFD1365" s="76"/>
      <c r="NFE1365" s="76"/>
      <c r="NFF1365" s="76"/>
      <c r="NFG1365" s="76"/>
      <c r="NFH1365" s="76"/>
      <c r="NFI1365" s="76"/>
      <c r="NFJ1365" s="76"/>
      <c r="NFK1365" s="76"/>
      <c r="NFL1365" s="76"/>
      <c r="NFM1365" s="76"/>
      <c r="NFN1365" s="76"/>
      <c r="NFO1365" s="76"/>
      <c r="NFP1365" s="76"/>
      <c r="NFQ1365" s="76"/>
      <c r="NFR1365" s="76"/>
      <c r="NFS1365" s="76"/>
      <c r="NFT1365" s="76"/>
      <c r="NFU1365" s="76"/>
      <c r="NFV1365" s="76"/>
      <c r="NFW1365" s="76"/>
      <c r="NFX1365" s="76"/>
      <c r="NFY1365" s="76"/>
      <c r="NFZ1365" s="76"/>
      <c r="NGA1365" s="76"/>
      <c r="NGB1365" s="76"/>
      <c r="NGC1365" s="76"/>
      <c r="NGD1365" s="76"/>
      <c r="NGE1365" s="76"/>
      <c r="NGF1365" s="76"/>
      <c r="NGG1365" s="76"/>
      <c r="NGH1365" s="76"/>
      <c r="NGI1365" s="76"/>
      <c r="NGJ1365" s="76"/>
      <c r="NGK1365" s="76"/>
      <c r="NGL1365" s="76"/>
      <c r="NGM1365" s="76"/>
      <c r="NGN1365" s="76"/>
      <c r="NGO1365" s="76"/>
      <c r="NGP1365" s="76"/>
      <c r="NGQ1365" s="76"/>
      <c r="NGR1365" s="76"/>
      <c r="NGS1365" s="76"/>
      <c r="NGT1365" s="76"/>
      <c r="NGU1365" s="76"/>
      <c r="NGV1365" s="76"/>
      <c r="NGW1365" s="76"/>
      <c r="NGX1365" s="76"/>
      <c r="NGY1365" s="76"/>
      <c r="NGZ1365" s="76"/>
      <c r="NHA1365" s="76"/>
      <c r="NHB1365" s="76"/>
      <c r="NHC1365" s="76"/>
      <c r="NHD1365" s="76"/>
      <c r="NHE1365" s="76"/>
      <c r="NHF1365" s="76"/>
      <c r="NHG1365" s="76"/>
      <c r="NHH1365" s="76"/>
      <c r="NHI1365" s="76"/>
      <c r="NHJ1365" s="76"/>
      <c r="NHK1365" s="76"/>
      <c r="NHL1365" s="76"/>
      <c r="NHM1365" s="76"/>
      <c r="NHN1365" s="76"/>
      <c r="NHO1365" s="76"/>
      <c r="NHP1365" s="76"/>
      <c r="NHQ1365" s="76"/>
      <c r="NHR1365" s="76"/>
      <c r="NHS1365" s="76"/>
      <c r="NHT1365" s="76"/>
      <c r="NHU1365" s="76"/>
      <c r="NHV1365" s="76"/>
      <c r="NHW1365" s="76"/>
      <c r="NHX1365" s="76"/>
      <c r="NHY1365" s="76"/>
      <c r="NHZ1365" s="76"/>
      <c r="NIA1365" s="76"/>
      <c r="NIB1365" s="76"/>
      <c r="NIC1365" s="76"/>
      <c r="NID1365" s="76"/>
      <c r="NIE1365" s="76"/>
      <c r="NIF1365" s="76"/>
      <c r="NIG1365" s="76"/>
      <c r="NIH1365" s="76"/>
      <c r="NII1365" s="76"/>
      <c r="NIJ1365" s="76"/>
      <c r="NIK1365" s="76"/>
      <c r="NIL1365" s="76"/>
      <c r="NIM1365" s="76"/>
      <c r="NIN1365" s="76"/>
      <c r="NIO1365" s="76"/>
      <c r="NIP1365" s="76"/>
      <c r="NIQ1365" s="76"/>
      <c r="NIR1365" s="76"/>
      <c r="NIS1365" s="76"/>
      <c r="NIT1365" s="76"/>
      <c r="NIU1365" s="76"/>
      <c r="NIV1365" s="76"/>
      <c r="NIW1365" s="76"/>
      <c r="NIX1365" s="76"/>
      <c r="NIY1365" s="76"/>
      <c r="NIZ1365" s="76"/>
      <c r="NJA1365" s="76"/>
      <c r="NJB1365" s="76"/>
      <c r="NJC1365" s="76"/>
      <c r="NJD1365" s="76"/>
      <c r="NJE1365" s="76"/>
      <c r="NJF1365" s="76"/>
      <c r="NJG1365" s="76"/>
      <c r="NJH1365" s="76"/>
      <c r="NJI1365" s="50"/>
      <c r="NJJ1365" s="76"/>
      <c r="NJK1365" s="76"/>
      <c r="NJL1365" s="76"/>
      <c r="NJM1365" s="76"/>
      <c r="NJN1365" s="76"/>
      <c r="NJO1365" s="76"/>
      <c r="NJP1365" s="76"/>
      <c r="NJQ1365" s="76"/>
      <c r="NJR1365" s="76"/>
      <c r="NJS1365" s="76"/>
      <c r="NJT1365" s="76"/>
      <c r="NJU1365" s="76"/>
      <c r="NJV1365" s="76"/>
      <c r="NJW1365" s="76"/>
      <c r="NJX1365" s="76"/>
      <c r="NJY1365" s="76"/>
      <c r="NJZ1365" s="76"/>
      <c r="NKA1365" s="76"/>
      <c r="NKB1365" s="76"/>
      <c r="NKC1365" s="76"/>
      <c r="NKD1365" s="76"/>
      <c r="NKE1365" s="76"/>
      <c r="NKF1365" s="76"/>
      <c r="NKG1365" s="76"/>
      <c r="NKH1365" s="76"/>
      <c r="NKI1365" s="76"/>
      <c r="NKJ1365" s="76"/>
      <c r="NKK1365" s="76"/>
      <c r="NKL1365" s="76"/>
      <c r="NKM1365" s="76"/>
      <c r="NKN1365" s="76"/>
      <c r="NKO1365" s="76"/>
      <c r="NKP1365" s="76"/>
      <c r="NKQ1365" s="76"/>
      <c r="NKR1365" s="76"/>
      <c r="NKS1365" s="76"/>
      <c r="NKT1365" s="76"/>
      <c r="NKU1365" s="76"/>
      <c r="NKV1365" s="76"/>
      <c r="NKW1365" s="76"/>
      <c r="NKX1365" s="76"/>
      <c r="NKY1365" s="76"/>
      <c r="NKZ1365" s="76"/>
      <c r="NLA1365" s="76"/>
      <c r="NLB1365" s="76"/>
      <c r="NLC1365" s="76"/>
      <c r="NLD1365" s="76"/>
      <c r="NLE1365" s="76"/>
      <c r="NLF1365" s="76"/>
      <c r="NLG1365" s="76"/>
      <c r="NLH1365" s="76"/>
      <c r="NLI1365" s="76"/>
      <c r="NLJ1365" s="76"/>
      <c r="NLK1365" s="76"/>
      <c r="NLL1365" s="76"/>
      <c r="NLM1365" s="76"/>
      <c r="NLN1365" s="76"/>
      <c r="NLO1365" s="76"/>
      <c r="NLP1365" s="76"/>
      <c r="NLQ1365" s="76"/>
      <c r="NLR1365" s="76"/>
      <c r="NLS1365" s="76"/>
      <c r="NLT1365" s="76"/>
      <c r="NLU1365" s="76"/>
      <c r="NLV1365" s="76"/>
      <c r="NLW1365" s="76"/>
      <c r="NLX1365" s="76"/>
      <c r="NLY1365" s="76"/>
      <c r="NLZ1365" s="76"/>
      <c r="NMA1365" s="76"/>
      <c r="NMB1365" s="76"/>
      <c r="NMC1365" s="76"/>
      <c r="NMD1365" s="76"/>
      <c r="NME1365" s="76"/>
      <c r="NMF1365" s="76"/>
      <c r="NMG1365" s="76"/>
      <c r="NMH1365" s="76"/>
      <c r="NMI1365" s="76"/>
      <c r="NMJ1365" s="76"/>
      <c r="NMK1365" s="76"/>
      <c r="NML1365" s="76"/>
      <c r="NMM1365" s="76"/>
      <c r="NMN1365" s="76"/>
      <c r="NMO1365" s="76"/>
      <c r="NMP1365" s="76"/>
      <c r="NMQ1365" s="76"/>
      <c r="NMR1365" s="76"/>
      <c r="NMS1365" s="76"/>
      <c r="NMT1365" s="76"/>
      <c r="NMU1365" s="76"/>
      <c r="NMV1365" s="76"/>
      <c r="NMW1365" s="76"/>
      <c r="NMX1365" s="76"/>
      <c r="NMY1365" s="76"/>
      <c r="NMZ1365" s="76"/>
      <c r="NNA1365" s="76"/>
      <c r="NNB1365" s="76"/>
      <c r="NNC1365" s="76"/>
      <c r="NND1365" s="76"/>
      <c r="NNE1365" s="76"/>
      <c r="NNF1365" s="76"/>
      <c r="NNG1365" s="76"/>
      <c r="NNH1365" s="76"/>
      <c r="NNI1365" s="76"/>
      <c r="NNJ1365" s="76"/>
      <c r="NNK1365" s="76"/>
      <c r="NNL1365" s="76"/>
      <c r="NNM1365" s="76"/>
      <c r="NNN1365" s="76"/>
      <c r="NNO1365" s="76"/>
      <c r="NNP1365" s="76"/>
      <c r="NNQ1365" s="76"/>
      <c r="NNR1365" s="76"/>
      <c r="NNS1365" s="76"/>
      <c r="NNT1365" s="76"/>
      <c r="NNU1365" s="76"/>
      <c r="NNV1365" s="76"/>
      <c r="NNW1365" s="76"/>
      <c r="NNX1365" s="76"/>
      <c r="NNY1365" s="76"/>
      <c r="NNZ1365" s="76"/>
      <c r="NOA1365" s="76"/>
      <c r="NOB1365" s="76"/>
      <c r="NOC1365" s="76"/>
      <c r="NOD1365" s="76"/>
      <c r="NOE1365" s="76"/>
      <c r="NOF1365" s="76"/>
      <c r="NOG1365" s="76"/>
      <c r="NOH1365" s="76"/>
      <c r="NOI1365" s="76"/>
      <c r="NOJ1365" s="76"/>
      <c r="NOK1365" s="76"/>
      <c r="NOL1365" s="76"/>
      <c r="NOM1365" s="76"/>
      <c r="NON1365" s="76"/>
      <c r="NOO1365" s="76"/>
      <c r="NOP1365" s="76"/>
      <c r="NOQ1365" s="76"/>
      <c r="NOR1365" s="76"/>
      <c r="NOS1365" s="76"/>
      <c r="NOT1365" s="76"/>
      <c r="NOU1365" s="76"/>
      <c r="NOV1365" s="76"/>
      <c r="NOW1365" s="76"/>
      <c r="NOX1365" s="76"/>
      <c r="NOY1365" s="76"/>
      <c r="NOZ1365" s="76"/>
      <c r="NPA1365" s="76"/>
      <c r="NPB1365" s="76"/>
      <c r="NPC1365" s="76"/>
      <c r="NPD1365" s="76"/>
      <c r="NPE1365" s="76"/>
      <c r="NPF1365" s="76"/>
      <c r="NPG1365" s="76"/>
      <c r="NPH1365" s="76"/>
      <c r="NPI1365" s="76"/>
      <c r="NPJ1365" s="76"/>
      <c r="NPK1365" s="76"/>
      <c r="NPL1365" s="76"/>
      <c r="NPM1365" s="76"/>
      <c r="NPN1365" s="76"/>
      <c r="NPO1365" s="76"/>
      <c r="NPP1365" s="76"/>
      <c r="NPQ1365" s="76"/>
      <c r="NPR1365" s="76"/>
      <c r="NPS1365" s="76"/>
      <c r="NPT1365" s="76"/>
      <c r="NPU1365" s="76"/>
      <c r="NPV1365" s="76"/>
      <c r="NPW1365" s="76"/>
      <c r="NPX1365" s="76"/>
      <c r="NPY1365" s="76"/>
      <c r="NPZ1365" s="76"/>
      <c r="NQA1365" s="76"/>
      <c r="NQB1365" s="76"/>
      <c r="NQC1365" s="76"/>
      <c r="NQD1365" s="76"/>
      <c r="NQE1365" s="76"/>
      <c r="NQF1365" s="76"/>
      <c r="NQG1365" s="76"/>
      <c r="NQH1365" s="76"/>
      <c r="NQI1365" s="76"/>
      <c r="NQJ1365" s="76"/>
      <c r="NQK1365" s="76"/>
      <c r="NQL1365" s="76"/>
      <c r="NQM1365" s="76"/>
      <c r="NQN1365" s="76"/>
      <c r="NQO1365" s="76"/>
      <c r="NQP1365" s="76"/>
      <c r="NQQ1365" s="76"/>
      <c r="NQR1365" s="76"/>
      <c r="NQS1365" s="76"/>
      <c r="NQT1365" s="76"/>
      <c r="NQU1365" s="76"/>
      <c r="NQV1365" s="76"/>
      <c r="NQW1365" s="76"/>
      <c r="NQX1365" s="76"/>
      <c r="NQY1365" s="76"/>
      <c r="NQZ1365" s="76"/>
      <c r="NRA1365" s="76"/>
      <c r="NRB1365" s="76"/>
      <c r="NRC1365" s="76"/>
      <c r="NRD1365" s="76"/>
      <c r="NRE1365" s="76"/>
      <c r="NRF1365" s="76"/>
      <c r="NRG1365" s="76"/>
      <c r="NRH1365" s="76"/>
      <c r="NRI1365" s="76"/>
      <c r="NRJ1365" s="76"/>
      <c r="NRK1365" s="76"/>
      <c r="NRL1365" s="76"/>
      <c r="NRM1365" s="76"/>
      <c r="NRN1365" s="76"/>
      <c r="NRO1365" s="76"/>
      <c r="NRP1365" s="76"/>
      <c r="NRQ1365" s="76"/>
      <c r="NRR1365" s="76"/>
      <c r="NRS1365" s="76"/>
      <c r="NRT1365" s="76"/>
      <c r="NRU1365" s="76"/>
      <c r="NRV1365" s="76"/>
      <c r="NRW1365" s="76"/>
      <c r="NRX1365" s="76"/>
      <c r="NRY1365" s="76"/>
      <c r="NRZ1365" s="76"/>
      <c r="NSA1365" s="76"/>
      <c r="NSB1365" s="76"/>
      <c r="NSC1365" s="76"/>
      <c r="NSD1365" s="76"/>
      <c r="NSE1365" s="76"/>
      <c r="NSF1365" s="76"/>
      <c r="NSG1365" s="76"/>
      <c r="NSH1365" s="76"/>
      <c r="NSI1365" s="76"/>
      <c r="NSJ1365" s="76"/>
      <c r="NSK1365" s="76"/>
      <c r="NSL1365" s="76"/>
      <c r="NSM1365" s="76"/>
      <c r="NSN1365" s="76"/>
      <c r="NSO1365" s="76"/>
      <c r="NSP1365" s="76"/>
      <c r="NSQ1365" s="76"/>
      <c r="NSR1365" s="76"/>
      <c r="NSS1365" s="76"/>
      <c r="NST1365" s="76"/>
      <c r="NSU1365" s="76"/>
      <c r="NSV1365" s="76"/>
      <c r="NSW1365" s="76"/>
      <c r="NSX1365" s="76"/>
      <c r="NSY1365" s="76"/>
      <c r="NSZ1365" s="76"/>
      <c r="NTA1365" s="76"/>
      <c r="NTB1365" s="76"/>
      <c r="NTC1365" s="76"/>
      <c r="NTD1365" s="76"/>
      <c r="NTE1365" s="50"/>
      <c r="NTF1365" s="76"/>
      <c r="NTG1365" s="76"/>
      <c r="NTH1365" s="76"/>
      <c r="NTI1365" s="76"/>
      <c r="NTJ1365" s="76"/>
      <c r="NTK1365" s="76"/>
      <c r="NTL1365" s="76"/>
      <c r="NTM1365" s="76"/>
      <c r="NTN1365" s="76"/>
      <c r="NTO1365" s="76"/>
      <c r="NTP1365" s="76"/>
      <c r="NTQ1365" s="76"/>
      <c r="NTR1365" s="76"/>
      <c r="NTS1365" s="76"/>
      <c r="NTT1365" s="76"/>
      <c r="NTU1365" s="76"/>
      <c r="NTV1365" s="76"/>
      <c r="NTW1365" s="76"/>
      <c r="NTX1365" s="76"/>
      <c r="NTY1365" s="76"/>
      <c r="NTZ1365" s="76"/>
      <c r="NUA1365" s="76"/>
      <c r="NUB1365" s="76"/>
      <c r="NUC1365" s="76"/>
      <c r="NUD1365" s="76"/>
      <c r="NUE1365" s="76"/>
      <c r="NUF1365" s="76"/>
      <c r="NUG1365" s="76"/>
      <c r="NUH1365" s="76"/>
      <c r="NUI1365" s="76"/>
      <c r="NUJ1365" s="76"/>
      <c r="NUK1365" s="76"/>
      <c r="NUL1365" s="76"/>
      <c r="NUM1365" s="76"/>
      <c r="NUN1365" s="76"/>
      <c r="NUO1365" s="76"/>
      <c r="NUP1365" s="76"/>
      <c r="NUQ1365" s="76"/>
      <c r="NUR1365" s="76"/>
      <c r="NUS1365" s="76"/>
      <c r="NUT1365" s="76"/>
      <c r="NUU1365" s="76"/>
      <c r="NUV1365" s="76"/>
      <c r="NUW1365" s="76"/>
      <c r="NUX1365" s="76"/>
      <c r="NUY1365" s="76"/>
      <c r="NUZ1365" s="76"/>
      <c r="NVA1365" s="76"/>
      <c r="NVB1365" s="76"/>
      <c r="NVC1365" s="76"/>
      <c r="NVD1365" s="76"/>
      <c r="NVE1365" s="76"/>
      <c r="NVF1365" s="76"/>
      <c r="NVG1365" s="76"/>
      <c r="NVH1365" s="76"/>
      <c r="NVI1365" s="76"/>
      <c r="NVJ1365" s="76"/>
      <c r="NVK1365" s="76"/>
      <c r="NVL1365" s="76"/>
      <c r="NVM1365" s="76"/>
      <c r="NVN1365" s="76"/>
      <c r="NVO1365" s="76"/>
      <c r="NVP1365" s="76"/>
      <c r="NVQ1365" s="76"/>
      <c r="NVR1365" s="76"/>
      <c r="NVS1365" s="76"/>
      <c r="NVT1365" s="76"/>
      <c r="NVU1365" s="76"/>
      <c r="NVV1365" s="76"/>
      <c r="NVW1365" s="76"/>
      <c r="NVX1365" s="76"/>
      <c r="NVY1365" s="76"/>
      <c r="NVZ1365" s="76"/>
      <c r="NWA1365" s="76"/>
      <c r="NWB1365" s="76"/>
      <c r="NWC1365" s="76"/>
      <c r="NWD1365" s="76"/>
      <c r="NWE1365" s="76"/>
      <c r="NWF1365" s="76"/>
      <c r="NWG1365" s="76"/>
      <c r="NWH1365" s="76"/>
      <c r="NWI1365" s="76"/>
      <c r="NWJ1365" s="76"/>
      <c r="NWK1365" s="76"/>
      <c r="NWL1365" s="76"/>
      <c r="NWM1365" s="76"/>
      <c r="NWN1365" s="76"/>
      <c r="NWO1365" s="76"/>
      <c r="NWP1365" s="76"/>
      <c r="NWQ1365" s="76"/>
      <c r="NWR1365" s="76"/>
      <c r="NWS1365" s="76"/>
      <c r="NWT1365" s="76"/>
      <c r="NWU1365" s="76"/>
      <c r="NWV1365" s="76"/>
      <c r="NWW1365" s="76"/>
      <c r="NWX1365" s="76"/>
      <c r="NWY1365" s="76"/>
      <c r="NWZ1365" s="76"/>
      <c r="NXA1365" s="76"/>
      <c r="NXB1365" s="76"/>
      <c r="NXC1365" s="76"/>
      <c r="NXD1365" s="76"/>
      <c r="NXE1365" s="76"/>
      <c r="NXF1365" s="76"/>
      <c r="NXG1365" s="76"/>
      <c r="NXH1365" s="76"/>
      <c r="NXI1365" s="76"/>
      <c r="NXJ1365" s="76"/>
      <c r="NXK1365" s="76"/>
      <c r="NXL1365" s="76"/>
      <c r="NXM1365" s="76"/>
      <c r="NXN1365" s="76"/>
      <c r="NXO1365" s="76"/>
      <c r="NXP1365" s="76"/>
      <c r="NXQ1365" s="76"/>
      <c r="NXR1365" s="76"/>
      <c r="NXS1365" s="76"/>
      <c r="NXT1365" s="76"/>
      <c r="NXU1365" s="76"/>
      <c r="NXV1365" s="76"/>
      <c r="NXW1365" s="76"/>
      <c r="NXX1365" s="76"/>
      <c r="NXY1365" s="76"/>
      <c r="NXZ1365" s="76"/>
      <c r="NYA1365" s="76"/>
      <c r="NYB1365" s="76"/>
      <c r="NYC1365" s="76"/>
      <c r="NYD1365" s="76"/>
      <c r="NYE1365" s="76"/>
      <c r="NYF1365" s="76"/>
      <c r="NYG1365" s="76"/>
      <c r="NYH1365" s="76"/>
      <c r="NYI1365" s="76"/>
      <c r="NYJ1365" s="76"/>
      <c r="NYK1365" s="76"/>
      <c r="NYL1365" s="76"/>
      <c r="NYM1365" s="76"/>
      <c r="NYN1365" s="76"/>
      <c r="NYO1365" s="76"/>
      <c r="NYP1365" s="76"/>
      <c r="NYQ1365" s="76"/>
      <c r="NYR1365" s="76"/>
      <c r="NYS1365" s="76"/>
      <c r="NYT1365" s="76"/>
      <c r="NYU1365" s="76"/>
      <c r="NYV1365" s="76"/>
      <c r="NYW1365" s="76"/>
      <c r="NYX1365" s="76"/>
      <c r="NYY1365" s="76"/>
      <c r="NYZ1365" s="76"/>
      <c r="NZA1365" s="76"/>
      <c r="NZB1365" s="76"/>
      <c r="NZC1365" s="76"/>
      <c r="NZD1365" s="76"/>
      <c r="NZE1365" s="76"/>
      <c r="NZF1365" s="76"/>
      <c r="NZG1365" s="76"/>
      <c r="NZH1365" s="76"/>
      <c r="NZI1365" s="76"/>
      <c r="NZJ1365" s="76"/>
      <c r="NZK1365" s="76"/>
      <c r="NZL1365" s="76"/>
      <c r="NZM1365" s="76"/>
      <c r="NZN1365" s="76"/>
      <c r="NZO1365" s="76"/>
      <c r="NZP1365" s="76"/>
      <c r="NZQ1365" s="76"/>
      <c r="NZR1365" s="76"/>
      <c r="NZS1365" s="76"/>
      <c r="NZT1365" s="76"/>
      <c r="NZU1365" s="76"/>
      <c r="NZV1365" s="76"/>
      <c r="NZW1365" s="76"/>
      <c r="NZX1365" s="76"/>
      <c r="NZY1365" s="76"/>
      <c r="NZZ1365" s="76"/>
      <c r="OAA1365" s="76"/>
      <c r="OAB1365" s="76"/>
      <c r="OAC1365" s="76"/>
      <c r="OAD1365" s="76"/>
      <c r="OAE1365" s="76"/>
      <c r="OAF1365" s="76"/>
      <c r="OAG1365" s="76"/>
      <c r="OAH1365" s="76"/>
      <c r="OAI1365" s="76"/>
      <c r="OAJ1365" s="76"/>
      <c r="OAK1365" s="76"/>
      <c r="OAL1365" s="76"/>
      <c r="OAM1365" s="76"/>
      <c r="OAN1365" s="76"/>
      <c r="OAO1365" s="76"/>
      <c r="OAP1365" s="76"/>
      <c r="OAQ1365" s="76"/>
      <c r="OAR1365" s="76"/>
      <c r="OAS1365" s="76"/>
      <c r="OAT1365" s="76"/>
      <c r="OAU1365" s="76"/>
      <c r="OAV1365" s="76"/>
      <c r="OAW1365" s="76"/>
      <c r="OAX1365" s="76"/>
      <c r="OAY1365" s="76"/>
      <c r="OAZ1365" s="76"/>
      <c r="OBA1365" s="76"/>
      <c r="OBB1365" s="76"/>
      <c r="OBC1365" s="76"/>
      <c r="OBD1365" s="76"/>
      <c r="OBE1365" s="76"/>
      <c r="OBF1365" s="76"/>
      <c r="OBG1365" s="76"/>
      <c r="OBH1365" s="76"/>
      <c r="OBI1365" s="76"/>
      <c r="OBJ1365" s="76"/>
      <c r="OBK1365" s="76"/>
      <c r="OBL1365" s="76"/>
      <c r="OBM1365" s="76"/>
      <c r="OBN1365" s="76"/>
      <c r="OBO1365" s="76"/>
      <c r="OBP1365" s="76"/>
      <c r="OBQ1365" s="76"/>
      <c r="OBR1365" s="76"/>
      <c r="OBS1365" s="76"/>
      <c r="OBT1365" s="76"/>
      <c r="OBU1365" s="76"/>
      <c r="OBV1365" s="76"/>
      <c r="OBW1365" s="76"/>
      <c r="OBX1365" s="76"/>
      <c r="OBY1365" s="76"/>
      <c r="OBZ1365" s="76"/>
      <c r="OCA1365" s="76"/>
      <c r="OCB1365" s="76"/>
      <c r="OCC1365" s="76"/>
      <c r="OCD1365" s="76"/>
      <c r="OCE1365" s="76"/>
      <c r="OCF1365" s="76"/>
      <c r="OCG1365" s="76"/>
      <c r="OCH1365" s="76"/>
      <c r="OCI1365" s="76"/>
      <c r="OCJ1365" s="76"/>
      <c r="OCK1365" s="76"/>
      <c r="OCL1365" s="76"/>
      <c r="OCM1365" s="76"/>
      <c r="OCN1365" s="76"/>
      <c r="OCO1365" s="76"/>
      <c r="OCP1365" s="76"/>
      <c r="OCQ1365" s="76"/>
      <c r="OCR1365" s="76"/>
      <c r="OCS1365" s="76"/>
      <c r="OCT1365" s="76"/>
      <c r="OCU1365" s="76"/>
      <c r="OCV1365" s="76"/>
      <c r="OCW1365" s="76"/>
      <c r="OCX1365" s="76"/>
      <c r="OCY1365" s="76"/>
      <c r="OCZ1365" s="76"/>
      <c r="ODA1365" s="50"/>
      <c r="ODB1365" s="76"/>
      <c r="ODC1365" s="76"/>
      <c r="ODD1365" s="76"/>
      <c r="ODE1365" s="76"/>
      <c r="ODF1365" s="76"/>
      <c r="ODG1365" s="76"/>
      <c r="ODH1365" s="76"/>
      <c r="ODI1365" s="76"/>
      <c r="ODJ1365" s="76"/>
      <c r="ODK1365" s="76"/>
      <c r="ODL1365" s="76"/>
      <c r="ODM1365" s="76"/>
      <c r="ODN1365" s="76"/>
      <c r="ODO1365" s="76"/>
      <c r="ODP1365" s="76"/>
      <c r="ODQ1365" s="76"/>
      <c r="ODR1365" s="76"/>
      <c r="ODS1365" s="76"/>
      <c r="ODT1365" s="76"/>
      <c r="ODU1365" s="76"/>
      <c r="ODV1365" s="76"/>
      <c r="ODW1365" s="76"/>
      <c r="ODX1365" s="76"/>
      <c r="ODY1365" s="76"/>
      <c r="ODZ1365" s="76"/>
      <c r="OEA1365" s="76"/>
      <c r="OEB1365" s="76"/>
      <c r="OEC1365" s="76"/>
      <c r="OED1365" s="76"/>
      <c r="OEE1365" s="76"/>
      <c r="OEF1365" s="76"/>
      <c r="OEG1365" s="76"/>
      <c r="OEH1365" s="76"/>
      <c r="OEI1365" s="76"/>
      <c r="OEJ1365" s="76"/>
      <c r="OEK1365" s="76"/>
      <c r="OEL1365" s="76"/>
      <c r="OEM1365" s="76"/>
      <c r="OEN1365" s="76"/>
      <c r="OEO1365" s="76"/>
      <c r="OEP1365" s="76"/>
      <c r="OEQ1365" s="76"/>
      <c r="OER1365" s="76"/>
      <c r="OES1365" s="76"/>
      <c r="OET1365" s="76"/>
      <c r="OEU1365" s="76"/>
      <c r="OEV1365" s="76"/>
      <c r="OEW1365" s="76"/>
      <c r="OEX1365" s="76"/>
      <c r="OEY1365" s="76"/>
      <c r="OEZ1365" s="76"/>
      <c r="OFA1365" s="76"/>
      <c r="OFB1365" s="76"/>
      <c r="OFC1365" s="76"/>
      <c r="OFD1365" s="76"/>
      <c r="OFE1365" s="76"/>
      <c r="OFF1365" s="76"/>
      <c r="OFG1365" s="76"/>
      <c r="OFH1365" s="76"/>
      <c r="OFI1365" s="76"/>
      <c r="OFJ1365" s="76"/>
      <c r="OFK1365" s="76"/>
      <c r="OFL1365" s="76"/>
      <c r="OFM1365" s="76"/>
      <c r="OFN1365" s="76"/>
      <c r="OFO1365" s="76"/>
      <c r="OFP1365" s="76"/>
      <c r="OFQ1365" s="76"/>
      <c r="OFR1365" s="76"/>
      <c r="OFS1365" s="76"/>
      <c r="OFT1365" s="76"/>
      <c r="OFU1365" s="76"/>
      <c r="OFV1365" s="76"/>
      <c r="OFW1365" s="76"/>
      <c r="OFX1365" s="76"/>
      <c r="OFY1365" s="76"/>
      <c r="OFZ1365" s="76"/>
      <c r="OGA1365" s="76"/>
      <c r="OGB1365" s="76"/>
      <c r="OGC1365" s="76"/>
      <c r="OGD1365" s="76"/>
      <c r="OGE1365" s="76"/>
      <c r="OGF1365" s="76"/>
      <c r="OGG1365" s="76"/>
      <c r="OGH1365" s="76"/>
      <c r="OGI1365" s="76"/>
      <c r="OGJ1365" s="76"/>
      <c r="OGK1365" s="76"/>
      <c r="OGL1365" s="76"/>
      <c r="OGM1365" s="76"/>
      <c r="OGN1365" s="76"/>
      <c r="OGO1365" s="76"/>
      <c r="OGP1365" s="76"/>
      <c r="OGQ1365" s="76"/>
      <c r="OGR1365" s="76"/>
      <c r="OGS1365" s="76"/>
      <c r="OGT1365" s="76"/>
      <c r="OGU1365" s="76"/>
      <c r="OGV1365" s="76"/>
      <c r="OGW1365" s="76"/>
      <c r="OGX1365" s="76"/>
      <c r="OGY1365" s="76"/>
      <c r="OGZ1365" s="76"/>
      <c r="OHA1365" s="76"/>
      <c r="OHB1365" s="76"/>
      <c r="OHC1365" s="76"/>
      <c r="OHD1365" s="76"/>
      <c r="OHE1365" s="76"/>
      <c r="OHF1365" s="76"/>
      <c r="OHG1365" s="76"/>
      <c r="OHH1365" s="76"/>
      <c r="OHI1365" s="76"/>
      <c r="OHJ1365" s="76"/>
      <c r="OHK1365" s="76"/>
      <c r="OHL1365" s="76"/>
      <c r="OHM1365" s="76"/>
      <c r="OHN1365" s="76"/>
      <c r="OHO1365" s="76"/>
      <c r="OHP1365" s="76"/>
      <c r="OHQ1365" s="76"/>
      <c r="OHR1365" s="76"/>
      <c r="OHS1365" s="76"/>
      <c r="OHT1365" s="76"/>
      <c r="OHU1365" s="76"/>
      <c r="OHV1365" s="76"/>
      <c r="OHW1365" s="76"/>
      <c r="OHX1365" s="76"/>
      <c r="OHY1365" s="76"/>
      <c r="OHZ1365" s="76"/>
      <c r="OIA1365" s="76"/>
      <c r="OIB1365" s="76"/>
      <c r="OIC1365" s="76"/>
      <c r="OID1365" s="76"/>
      <c r="OIE1365" s="76"/>
      <c r="OIF1365" s="76"/>
      <c r="OIG1365" s="76"/>
      <c r="OIH1365" s="76"/>
      <c r="OII1365" s="76"/>
      <c r="OIJ1365" s="76"/>
      <c r="OIK1365" s="76"/>
      <c r="OIL1365" s="76"/>
      <c r="OIM1365" s="76"/>
      <c r="OIN1365" s="76"/>
      <c r="OIO1365" s="76"/>
      <c r="OIP1365" s="76"/>
      <c r="OIQ1365" s="76"/>
      <c r="OIR1365" s="76"/>
      <c r="OIS1365" s="76"/>
      <c r="OIT1365" s="76"/>
      <c r="OIU1365" s="76"/>
      <c r="OIV1365" s="76"/>
      <c r="OIW1365" s="76"/>
      <c r="OIX1365" s="76"/>
      <c r="OIY1365" s="76"/>
      <c r="OIZ1365" s="76"/>
      <c r="OJA1365" s="76"/>
      <c r="OJB1365" s="76"/>
      <c r="OJC1365" s="76"/>
      <c r="OJD1365" s="76"/>
      <c r="OJE1365" s="76"/>
      <c r="OJF1365" s="76"/>
      <c r="OJG1365" s="76"/>
      <c r="OJH1365" s="76"/>
      <c r="OJI1365" s="76"/>
      <c r="OJJ1365" s="76"/>
      <c r="OJK1365" s="76"/>
      <c r="OJL1365" s="76"/>
      <c r="OJM1365" s="76"/>
      <c r="OJN1365" s="76"/>
      <c r="OJO1365" s="76"/>
      <c r="OJP1365" s="76"/>
      <c r="OJQ1365" s="76"/>
      <c r="OJR1365" s="76"/>
      <c r="OJS1365" s="76"/>
      <c r="OJT1365" s="76"/>
      <c r="OJU1365" s="76"/>
      <c r="OJV1365" s="76"/>
      <c r="OJW1365" s="76"/>
      <c r="OJX1365" s="76"/>
      <c r="OJY1365" s="76"/>
      <c r="OJZ1365" s="76"/>
      <c r="OKA1365" s="76"/>
      <c r="OKB1365" s="76"/>
      <c r="OKC1365" s="76"/>
      <c r="OKD1365" s="76"/>
      <c r="OKE1365" s="76"/>
      <c r="OKF1365" s="76"/>
      <c r="OKG1365" s="76"/>
      <c r="OKH1365" s="76"/>
      <c r="OKI1365" s="76"/>
      <c r="OKJ1365" s="76"/>
      <c r="OKK1365" s="76"/>
      <c r="OKL1365" s="76"/>
      <c r="OKM1365" s="76"/>
      <c r="OKN1365" s="76"/>
      <c r="OKO1365" s="76"/>
      <c r="OKP1365" s="76"/>
      <c r="OKQ1365" s="76"/>
      <c r="OKR1365" s="76"/>
      <c r="OKS1365" s="76"/>
      <c r="OKT1365" s="76"/>
      <c r="OKU1365" s="76"/>
      <c r="OKV1365" s="76"/>
      <c r="OKW1365" s="76"/>
      <c r="OKX1365" s="76"/>
      <c r="OKY1365" s="76"/>
      <c r="OKZ1365" s="76"/>
      <c r="OLA1365" s="76"/>
      <c r="OLB1365" s="76"/>
      <c r="OLC1365" s="76"/>
      <c r="OLD1365" s="76"/>
      <c r="OLE1365" s="76"/>
      <c r="OLF1365" s="76"/>
      <c r="OLG1365" s="76"/>
      <c r="OLH1365" s="76"/>
      <c r="OLI1365" s="76"/>
      <c r="OLJ1365" s="76"/>
      <c r="OLK1365" s="76"/>
      <c r="OLL1365" s="76"/>
      <c r="OLM1365" s="76"/>
      <c r="OLN1365" s="76"/>
      <c r="OLO1365" s="76"/>
      <c r="OLP1365" s="76"/>
      <c r="OLQ1365" s="76"/>
      <c r="OLR1365" s="76"/>
      <c r="OLS1365" s="76"/>
      <c r="OLT1365" s="76"/>
      <c r="OLU1365" s="76"/>
      <c r="OLV1365" s="76"/>
      <c r="OLW1365" s="76"/>
      <c r="OLX1365" s="76"/>
      <c r="OLY1365" s="76"/>
      <c r="OLZ1365" s="76"/>
      <c r="OMA1365" s="76"/>
      <c r="OMB1365" s="76"/>
      <c r="OMC1365" s="76"/>
      <c r="OMD1365" s="76"/>
      <c r="OME1365" s="76"/>
      <c r="OMF1365" s="76"/>
      <c r="OMG1365" s="76"/>
      <c r="OMH1365" s="76"/>
      <c r="OMI1365" s="76"/>
      <c r="OMJ1365" s="76"/>
      <c r="OMK1365" s="76"/>
      <c r="OML1365" s="76"/>
      <c r="OMM1365" s="76"/>
      <c r="OMN1365" s="76"/>
      <c r="OMO1365" s="76"/>
      <c r="OMP1365" s="76"/>
      <c r="OMQ1365" s="76"/>
      <c r="OMR1365" s="76"/>
      <c r="OMS1365" s="76"/>
      <c r="OMT1365" s="76"/>
      <c r="OMU1365" s="76"/>
      <c r="OMV1365" s="76"/>
      <c r="OMW1365" s="50"/>
      <c r="OMX1365" s="76"/>
      <c r="OMY1365" s="76"/>
      <c r="OMZ1365" s="76"/>
      <c r="ONA1365" s="76"/>
      <c r="ONB1365" s="76"/>
      <c r="ONC1365" s="76"/>
      <c r="OND1365" s="76"/>
      <c r="ONE1365" s="76"/>
      <c r="ONF1365" s="76"/>
      <c r="ONG1365" s="76"/>
      <c r="ONH1365" s="76"/>
      <c r="ONI1365" s="76"/>
      <c r="ONJ1365" s="76"/>
      <c r="ONK1365" s="76"/>
      <c r="ONL1365" s="76"/>
      <c r="ONM1365" s="76"/>
      <c r="ONN1365" s="76"/>
      <c r="ONO1365" s="76"/>
      <c r="ONP1365" s="76"/>
      <c r="ONQ1365" s="76"/>
      <c r="ONR1365" s="76"/>
      <c r="ONS1365" s="76"/>
      <c r="ONT1365" s="76"/>
      <c r="ONU1365" s="76"/>
      <c r="ONV1365" s="76"/>
      <c r="ONW1365" s="76"/>
      <c r="ONX1365" s="76"/>
      <c r="ONY1365" s="76"/>
      <c r="ONZ1365" s="76"/>
      <c r="OOA1365" s="76"/>
      <c r="OOB1365" s="76"/>
      <c r="OOC1365" s="76"/>
      <c r="OOD1365" s="76"/>
      <c r="OOE1365" s="76"/>
      <c r="OOF1365" s="76"/>
      <c r="OOG1365" s="76"/>
      <c r="OOH1365" s="76"/>
      <c r="OOI1365" s="76"/>
      <c r="OOJ1365" s="76"/>
      <c r="OOK1365" s="76"/>
      <c r="OOL1365" s="76"/>
      <c r="OOM1365" s="76"/>
      <c r="OON1365" s="76"/>
      <c r="OOO1365" s="76"/>
      <c r="OOP1365" s="76"/>
      <c r="OOQ1365" s="76"/>
      <c r="OOR1365" s="76"/>
      <c r="OOS1365" s="76"/>
      <c r="OOT1365" s="76"/>
      <c r="OOU1365" s="76"/>
      <c r="OOV1365" s="76"/>
      <c r="OOW1365" s="76"/>
      <c r="OOX1365" s="76"/>
      <c r="OOY1365" s="76"/>
      <c r="OOZ1365" s="76"/>
      <c r="OPA1365" s="76"/>
      <c r="OPB1365" s="76"/>
      <c r="OPC1365" s="76"/>
      <c r="OPD1365" s="76"/>
      <c r="OPE1365" s="76"/>
      <c r="OPF1365" s="76"/>
      <c r="OPG1365" s="76"/>
      <c r="OPH1365" s="76"/>
      <c r="OPI1365" s="76"/>
      <c r="OPJ1365" s="76"/>
      <c r="OPK1365" s="76"/>
      <c r="OPL1365" s="76"/>
      <c r="OPM1365" s="76"/>
      <c r="OPN1365" s="76"/>
      <c r="OPO1365" s="76"/>
      <c r="OPP1365" s="76"/>
      <c r="OPQ1365" s="76"/>
      <c r="OPR1365" s="76"/>
      <c r="OPS1365" s="76"/>
      <c r="OPT1365" s="76"/>
      <c r="OPU1365" s="76"/>
      <c r="OPV1365" s="76"/>
      <c r="OPW1365" s="76"/>
      <c r="OPX1365" s="76"/>
      <c r="OPY1365" s="76"/>
      <c r="OPZ1365" s="76"/>
      <c r="OQA1365" s="76"/>
      <c r="OQB1365" s="76"/>
      <c r="OQC1365" s="76"/>
      <c r="OQD1365" s="76"/>
      <c r="OQE1365" s="76"/>
      <c r="OQF1365" s="76"/>
      <c r="OQG1365" s="76"/>
      <c r="OQH1365" s="76"/>
      <c r="OQI1365" s="76"/>
      <c r="OQJ1365" s="76"/>
      <c r="OQK1365" s="76"/>
      <c r="OQL1365" s="76"/>
      <c r="OQM1365" s="76"/>
      <c r="OQN1365" s="76"/>
      <c r="OQO1365" s="76"/>
      <c r="OQP1365" s="76"/>
      <c r="OQQ1365" s="76"/>
      <c r="OQR1365" s="76"/>
      <c r="OQS1365" s="76"/>
      <c r="OQT1365" s="76"/>
      <c r="OQU1365" s="76"/>
      <c r="OQV1365" s="76"/>
      <c r="OQW1365" s="76"/>
      <c r="OQX1365" s="76"/>
      <c r="OQY1365" s="76"/>
      <c r="OQZ1365" s="76"/>
      <c r="ORA1365" s="76"/>
      <c r="ORB1365" s="76"/>
      <c r="ORC1365" s="76"/>
      <c r="ORD1365" s="76"/>
      <c r="ORE1365" s="76"/>
      <c r="ORF1365" s="76"/>
      <c r="ORG1365" s="76"/>
      <c r="ORH1365" s="76"/>
      <c r="ORI1365" s="76"/>
      <c r="ORJ1365" s="76"/>
      <c r="ORK1365" s="76"/>
      <c r="ORL1365" s="76"/>
      <c r="ORM1365" s="76"/>
      <c r="ORN1365" s="76"/>
      <c r="ORO1365" s="76"/>
      <c r="ORP1365" s="76"/>
      <c r="ORQ1365" s="76"/>
      <c r="ORR1365" s="76"/>
      <c r="ORS1365" s="76"/>
      <c r="ORT1365" s="76"/>
      <c r="ORU1365" s="76"/>
      <c r="ORV1365" s="76"/>
      <c r="ORW1365" s="76"/>
      <c r="ORX1365" s="76"/>
      <c r="ORY1365" s="76"/>
      <c r="ORZ1365" s="76"/>
      <c r="OSA1365" s="76"/>
      <c r="OSB1365" s="76"/>
      <c r="OSC1365" s="76"/>
      <c r="OSD1365" s="76"/>
      <c r="OSE1365" s="76"/>
      <c r="OSF1365" s="76"/>
      <c r="OSG1365" s="76"/>
      <c r="OSH1365" s="76"/>
      <c r="OSI1365" s="76"/>
      <c r="OSJ1365" s="76"/>
      <c r="OSK1365" s="76"/>
      <c r="OSL1365" s="76"/>
      <c r="OSM1365" s="76"/>
      <c r="OSN1365" s="76"/>
      <c r="OSO1365" s="76"/>
      <c r="OSP1365" s="76"/>
      <c r="OSQ1365" s="76"/>
      <c r="OSR1365" s="76"/>
      <c r="OSS1365" s="76"/>
      <c r="OST1365" s="76"/>
      <c r="OSU1365" s="76"/>
      <c r="OSV1365" s="76"/>
      <c r="OSW1365" s="76"/>
      <c r="OSX1365" s="76"/>
      <c r="OSY1365" s="76"/>
      <c r="OSZ1365" s="76"/>
      <c r="OTA1365" s="76"/>
      <c r="OTB1365" s="76"/>
      <c r="OTC1365" s="76"/>
      <c r="OTD1365" s="76"/>
      <c r="OTE1365" s="76"/>
      <c r="OTF1365" s="76"/>
      <c r="OTG1365" s="76"/>
      <c r="OTH1365" s="76"/>
      <c r="OTI1365" s="76"/>
      <c r="OTJ1365" s="76"/>
      <c r="OTK1365" s="76"/>
      <c r="OTL1365" s="76"/>
      <c r="OTM1365" s="76"/>
      <c r="OTN1365" s="76"/>
      <c r="OTO1365" s="76"/>
      <c r="OTP1365" s="76"/>
      <c r="OTQ1365" s="76"/>
      <c r="OTR1365" s="76"/>
      <c r="OTS1365" s="76"/>
      <c r="OTT1365" s="76"/>
      <c r="OTU1365" s="76"/>
      <c r="OTV1365" s="76"/>
      <c r="OTW1365" s="76"/>
      <c r="OTX1365" s="76"/>
      <c r="OTY1365" s="76"/>
      <c r="OTZ1365" s="76"/>
      <c r="OUA1365" s="76"/>
      <c r="OUB1365" s="76"/>
      <c r="OUC1365" s="76"/>
      <c r="OUD1365" s="76"/>
      <c r="OUE1365" s="76"/>
      <c r="OUF1365" s="76"/>
      <c r="OUG1365" s="76"/>
      <c r="OUH1365" s="76"/>
      <c r="OUI1365" s="76"/>
      <c r="OUJ1365" s="76"/>
      <c r="OUK1365" s="76"/>
      <c r="OUL1365" s="76"/>
      <c r="OUM1365" s="76"/>
      <c r="OUN1365" s="76"/>
      <c r="OUO1365" s="76"/>
      <c r="OUP1365" s="76"/>
      <c r="OUQ1365" s="76"/>
      <c r="OUR1365" s="76"/>
      <c r="OUS1365" s="76"/>
      <c r="OUT1365" s="76"/>
      <c r="OUU1365" s="76"/>
      <c r="OUV1365" s="76"/>
      <c r="OUW1365" s="76"/>
      <c r="OUX1365" s="76"/>
      <c r="OUY1365" s="76"/>
      <c r="OUZ1365" s="76"/>
      <c r="OVA1365" s="76"/>
      <c r="OVB1365" s="76"/>
      <c r="OVC1365" s="76"/>
      <c r="OVD1365" s="76"/>
      <c r="OVE1365" s="76"/>
      <c r="OVF1365" s="76"/>
      <c r="OVG1365" s="76"/>
      <c r="OVH1365" s="76"/>
      <c r="OVI1365" s="76"/>
      <c r="OVJ1365" s="76"/>
      <c r="OVK1365" s="76"/>
      <c r="OVL1365" s="76"/>
      <c r="OVM1365" s="76"/>
      <c r="OVN1365" s="76"/>
      <c r="OVO1365" s="76"/>
      <c r="OVP1365" s="76"/>
      <c r="OVQ1365" s="76"/>
      <c r="OVR1365" s="76"/>
      <c r="OVS1365" s="76"/>
      <c r="OVT1365" s="76"/>
      <c r="OVU1365" s="76"/>
      <c r="OVV1365" s="76"/>
      <c r="OVW1365" s="76"/>
      <c r="OVX1365" s="76"/>
      <c r="OVY1365" s="76"/>
      <c r="OVZ1365" s="76"/>
      <c r="OWA1365" s="76"/>
      <c r="OWB1365" s="76"/>
      <c r="OWC1365" s="76"/>
      <c r="OWD1365" s="76"/>
      <c r="OWE1365" s="76"/>
      <c r="OWF1365" s="76"/>
      <c r="OWG1365" s="76"/>
      <c r="OWH1365" s="76"/>
      <c r="OWI1365" s="76"/>
      <c r="OWJ1365" s="76"/>
      <c r="OWK1365" s="76"/>
      <c r="OWL1365" s="76"/>
      <c r="OWM1365" s="76"/>
      <c r="OWN1365" s="76"/>
      <c r="OWO1365" s="76"/>
      <c r="OWP1365" s="76"/>
      <c r="OWQ1365" s="76"/>
      <c r="OWR1365" s="76"/>
      <c r="OWS1365" s="50"/>
      <c r="OWT1365" s="76"/>
      <c r="OWU1365" s="76"/>
      <c r="OWV1365" s="76"/>
      <c r="OWW1365" s="76"/>
      <c r="OWX1365" s="76"/>
      <c r="OWY1365" s="76"/>
      <c r="OWZ1365" s="76"/>
      <c r="OXA1365" s="76"/>
      <c r="OXB1365" s="76"/>
      <c r="OXC1365" s="76"/>
      <c r="OXD1365" s="76"/>
      <c r="OXE1365" s="76"/>
      <c r="OXF1365" s="76"/>
      <c r="OXG1365" s="76"/>
      <c r="OXH1365" s="76"/>
      <c r="OXI1365" s="76"/>
      <c r="OXJ1365" s="76"/>
      <c r="OXK1365" s="76"/>
      <c r="OXL1365" s="76"/>
      <c r="OXM1365" s="76"/>
      <c r="OXN1365" s="76"/>
      <c r="OXO1365" s="76"/>
      <c r="OXP1365" s="76"/>
      <c r="OXQ1365" s="76"/>
      <c r="OXR1365" s="76"/>
      <c r="OXS1365" s="76"/>
      <c r="OXT1365" s="76"/>
      <c r="OXU1365" s="76"/>
      <c r="OXV1365" s="76"/>
      <c r="OXW1365" s="76"/>
      <c r="OXX1365" s="76"/>
      <c r="OXY1365" s="76"/>
      <c r="OXZ1365" s="76"/>
      <c r="OYA1365" s="76"/>
      <c r="OYB1365" s="76"/>
      <c r="OYC1365" s="76"/>
      <c r="OYD1365" s="76"/>
      <c r="OYE1365" s="76"/>
      <c r="OYF1365" s="76"/>
      <c r="OYG1365" s="76"/>
      <c r="OYH1365" s="76"/>
      <c r="OYI1365" s="76"/>
      <c r="OYJ1365" s="76"/>
      <c r="OYK1365" s="76"/>
      <c r="OYL1365" s="76"/>
      <c r="OYM1365" s="76"/>
      <c r="OYN1365" s="76"/>
      <c r="OYO1365" s="76"/>
      <c r="OYP1365" s="76"/>
      <c r="OYQ1365" s="76"/>
      <c r="OYR1365" s="76"/>
      <c r="OYS1365" s="76"/>
      <c r="OYT1365" s="76"/>
      <c r="OYU1365" s="76"/>
      <c r="OYV1365" s="76"/>
      <c r="OYW1365" s="76"/>
      <c r="OYX1365" s="76"/>
      <c r="OYY1365" s="76"/>
      <c r="OYZ1365" s="76"/>
      <c r="OZA1365" s="76"/>
      <c r="OZB1365" s="76"/>
      <c r="OZC1365" s="76"/>
      <c r="OZD1365" s="76"/>
      <c r="OZE1365" s="76"/>
      <c r="OZF1365" s="76"/>
      <c r="OZG1365" s="76"/>
      <c r="OZH1365" s="76"/>
      <c r="OZI1365" s="76"/>
      <c r="OZJ1365" s="76"/>
      <c r="OZK1365" s="76"/>
      <c r="OZL1365" s="76"/>
      <c r="OZM1365" s="76"/>
      <c r="OZN1365" s="76"/>
      <c r="OZO1365" s="76"/>
      <c r="OZP1365" s="76"/>
      <c r="OZQ1365" s="76"/>
      <c r="OZR1365" s="76"/>
      <c r="OZS1365" s="76"/>
      <c r="OZT1365" s="76"/>
      <c r="OZU1365" s="76"/>
      <c r="OZV1365" s="76"/>
      <c r="OZW1365" s="76"/>
      <c r="OZX1365" s="76"/>
      <c r="OZY1365" s="76"/>
      <c r="OZZ1365" s="76"/>
      <c r="PAA1365" s="76"/>
      <c r="PAB1365" s="76"/>
      <c r="PAC1365" s="76"/>
      <c r="PAD1365" s="76"/>
      <c r="PAE1365" s="76"/>
      <c r="PAF1365" s="76"/>
      <c r="PAG1365" s="76"/>
      <c r="PAH1365" s="76"/>
      <c r="PAI1365" s="76"/>
      <c r="PAJ1365" s="76"/>
      <c r="PAK1365" s="76"/>
      <c r="PAL1365" s="76"/>
      <c r="PAM1365" s="76"/>
      <c r="PAN1365" s="76"/>
      <c r="PAO1365" s="76"/>
      <c r="PAP1365" s="76"/>
      <c r="PAQ1365" s="76"/>
      <c r="PAR1365" s="76"/>
      <c r="PAS1365" s="76"/>
      <c r="PAT1365" s="76"/>
      <c r="PAU1365" s="76"/>
      <c r="PAV1365" s="76"/>
      <c r="PAW1365" s="76"/>
      <c r="PAX1365" s="76"/>
      <c r="PAY1365" s="76"/>
      <c r="PAZ1365" s="76"/>
      <c r="PBA1365" s="76"/>
      <c r="PBB1365" s="76"/>
      <c r="PBC1365" s="76"/>
      <c r="PBD1365" s="76"/>
      <c r="PBE1365" s="76"/>
      <c r="PBF1365" s="76"/>
      <c r="PBG1365" s="76"/>
      <c r="PBH1365" s="76"/>
      <c r="PBI1365" s="76"/>
      <c r="PBJ1365" s="76"/>
      <c r="PBK1365" s="76"/>
      <c r="PBL1365" s="76"/>
      <c r="PBM1365" s="76"/>
      <c r="PBN1365" s="76"/>
      <c r="PBO1365" s="76"/>
      <c r="PBP1365" s="76"/>
      <c r="PBQ1365" s="76"/>
      <c r="PBR1365" s="76"/>
      <c r="PBS1365" s="76"/>
      <c r="PBT1365" s="76"/>
      <c r="PBU1365" s="76"/>
      <c r="PBV1365" s="76"/>
      <c r="PBW1365" s="76"/>
      <c r="PBX1365" s="76"/>
      <c r="PBY1365" s="76"/>
      <c r="PBZ1365" s="76"/>
      <c r="PCA1365" s="76"/>
      <c r="PCB1365" s="76"/>
      <c r="PCC1365" s="76"/>
      <c r="PCD1365" s="76"/>
      <c r="PCE1365" s="76"/>
      <c r="PCF1365" s="76"/>
      <c r="PCG1365" s="76"/>
      <c r="PCH1365" s="76"/>
      <c r="PCI1365" s="76"/>
      <c r="PCJ1365" s="76"/>
      <c r="PCK1365" s="76"/>
      <c r="PCL1365" s="76"/>
      <c r="PCM1365" s="76"/>
      <c r="PCN1365" s="76"/>
      <c r="PCO1365" s="76"/>
      <c r="PCP1365" s="76"/>
      <c r="PCQ1365" s="76"/>
      <c r="PCR1365" s="76"/>
      <c r="PCS1365" s="76"/>
      <c r="PCT1365" s="76"/>
      <c r="PCU1365" s="76"/>
      <c r="PCV1365" s="76"/>
      <c r="PCW1365" s="76"/>
      <c r="PCX1365" s="76"/>
      <c r="PCY1365" s="76"/>
      <c r="PCZ1365" s="76"/>
      <c r="PDA1365" s="76"/>
      <c r="PDB1365" s="76"/>
      <c r="PDC1365" s="76"/>
      <c r="PDD1365" s="76"/>
      <c r="PDE1365" s="76"/>
      <c r="PDF1365" s="76"/>
      <c r="PDG1365" s="76"/>
      <c r="PDH1365" s="76"/>
      <c r="PDI1365" s="76"/>
      <c r="PDJ1365" s="76"/>
      <c r="PDK1365" s="76"/>
      <c r="PDL1365" s="76"/>
      <c r="PDM1365" s="76"/>
      <c r="PDN1365" s="76"/>
      <c r="PDO1365" s="76"/>
      <c r="PDP1365" s="76"/>
      <c r="PDQ1365" s="76"/>
      <c r="PDR1365" s="76"/>
      <c r="PDS1365" s="76"/>
      <c r="PDT1365" s="76"/>
      <c r="PDU1365" s="76"/>
      <c r="PDV1365" s="76"/>
      <c r="PDW1365" s="76"/>
      <c r="PDX1365" s="76"/>
      <c r="PDY1365" s="76"/>
      <c r="PDZ1365" s="76"/>
      <c r="PEA1365" s="76"/>
      <c r="PEB1365" s="76"/>
      <c r="PEC1365" s="76"/>
      <c r="PED1365" s="76"/>
      <c r="PEE1365" s="76"/>
      <c r="PEF1365" s="76"/>
      <c r="PEG1365" s="76"/>
      <c r="PEH1365" s="76"/>
      <c r="PEI1365" s="76"/>
      <c r="PEJ1365" s="76"/>
      <c r="PEK1365" s="76"/>
      <c r="PEL1365" s="76"/>
      <c r="PEM1365" s="76"/>
      <c r="PEN1365" s="76"/>
      <c r="PEO1365" s="76"/>
      <c r="PEP1365" s="76"/>
      <c r="PEQ1365" s="76"/>
      <c r="PER1365" s="76"/>
      <c r="PES1365" s="76"/>
      <c r="PET1365" s="76"/>
      <c r="PEU1365" s="76"/>
      <c r="PEV1365" s="76"/>
      <c r="PEW1365" s="76"/>
      <c r="PEX1365" s="76"/>
      <c r="PEY1365" s="76"/>
      <c r="PEZ1365" s="76"/>
      <c r="PFA1365" s="76"/>
      <c r="PFB1365" s="76"/>
      <c r="PFC1365" s="76"/>
      <c r="PFD1365" s="76"/>
      <c r="PFE1365" s="76"/>
      <c r="PFF1365" s="76"/>
      <c r="PFG1365" s="76"/>
      <c r="PFH1365" s="76"/>
      <c r="PFI1365" s="76"/>
      <c r="PFJ1365" s="76"/>
      <c r="PFK1365" s="76"/>
      <c r="PFL1365" s="76"/>
      <c r="PFM1365" s="76"/>
      <c r="PFN1365" s="76"/>
      <c r="PFO1365" s="76"/>
      <c r="PFP1365" s="76"/>
      <c r="PFQ1365" s="76"/>
      <c r="PFR1365" s="76"/>
      <c r="PFS1365" s="76"/>
      <c r="PFT1365" s="76"/>
      <c r="PFU1365" s="76"/>
      <c r="PFV1365" s="76"/>
      <c r="PFW1365" s="76"/>
      <c r="PFX1365" s="76"/>
      <c r="PFY1365" s="76"/>
      <c r="PFZ1365" s="76"/>
      <c r="PGA1365" s="76"/>
      <c r="PGB1365" s="76"/>
      <c r="PGC1365" s="76"/>
      <c r="PGD1365" s="76"/>
      <c r="PGE1365" s="76"/>
      <c r="PGF1365" s="76"/>
      <c r="PGG1365" s="76"/>
      <c r="PGH1365" s="76"/>
      <c r="PGI1365" s="76"/>
      <c r="PGJ1365" s="76"/>
      <c r="PGK1365" s="76"/>
      <c r="PGL1365" s="76"/>
      <c r="PGM1365" s="76"/>
      <c r="PGN1365" s="76"/>
      <c r="PGO1365" s="50"/>
      <c r="PGP1365" s="76"/>
      <c r="PGQ1365" s="76"/>
      <c r="PGR1365" s="76"/>
      <c r="PGS1365" s="76"/>
      <c r="PGT1365" s="76"/>
      <c r="PGU1365" s="76"/>
      <c r="PGV1365" s="76"/>
      <c r="PGW1365" s="76"/>
      <c r="PGX1365" s="76"/>
      <c r="PGY1365" s="76"/>
      <c r="PGZ1365" s="76"/>
      <c r="PHA1365" s="76"/>
      <c r="PHB1365" s="76"/>
      <c r="PHC1365" s="76"/>
      <c r="PHD1365" s="76"/>
      <c r="PHE1365" s="76"/>
      <c r="PHF1365" s="76"/>
      <c r="PHG1365" s="76"/>
      <c r="PHH1365" s="76"/>
      <c r="PHI1365" s="76"/>
      <c r="PHJ1365" s="76"/>
      <c r="PHK1365" s="76"/>
      <c r="PHL1365" s="76"/>
      <c r="PHM1365" s="76"/>
      <c r="PHN1365" s="76"/>
      <c r="PHO1365" s="76"/>
      <c r="PHP1365" s="76"/>
      <c r="PHQ1365" s="76"/>
      <c r="PHR1365" s="76"/>
      <c r="PHS1365" s="76"/>
      <c r="PHT1365" s="76"/>
      <c r="PHU1365" s="76"/>
      <c r="PHV1365" s="76"/>
      <c r="PHW1365" s="76"/>
      <c r="PHX1365" s="76"/>
      <c r="PHY1365" s="76"/>
      <c r="PHZ1365" s="76"/>
      <c r="PIA1365" s="76"/>
      <c r="PIB1365" s="76"/>
      <c r="PIC1365" s="76"/>
      <c r="PID1365" s="76"/>
      <c r="PIE1365" s="76"/>
      <c r="PIF1365" s="76"/>
      <c r="PIG1365" s="76"/>
      <c r="PIH1365" s="76"/>
      <c r="PII1365" s="76"/>
      <c r="PIJ1365" s="76"/>
      <c r="PIK1365" s="76"/>
      <c r="PIL1365" s="76"/>
      <c r="PIM1365" s="76"/>
      <c r="PIN1365" s="76"/>
      <c r="PIO1365" s="76"/>
      <c r="PIP1365" s="76"/>
      <c r="PIQ1365" s="76"/>
      <c r="PIR1365" s="76"/>
      <c r="PIS1365" s="76"/>
      <c r="PIT1365" s="76"/>
      <c r="PIU1365" s="76"/>
      <c r="PIV1365" s="76"/>
      <c r="PIW1365" s="76"/>
      <c r="PIX1365" s="76"/>
      <c r="PIY1365" s="76"/>
      <c r="PIZ1365" s="76"/>
      <c r="PJA1365" s="76"/>
      <c r="PJB1365" s="76"/>
      <c r="PJC1365" s="76"/>
      <c r="PJD1365" s="76"/>
      <c r="PJE1365" s="76"/>
      <c r="PJF1365" s="76"/>
      <c r="PJG1365" s="76"/>
      <c r="PJH1365" s="76"/>
      <c r="PJI1365" s="76"/>
      <c r="PJJ1365" s="76"/>
      <c r="PJK1365" s="76"/>
      <c r="PJL1365" s="76"/>
      <c r="PJM1365" s="76"/>
      <c r="PJN1365" s="76"/>
      <c r="PJO1365" s="76"/>
      <c r="PJP1365" s="76"/>
      <c r="PJQ1365" s="76"/>
      <c r="PJR1365" s="76"/>
      <c r="PJS1365" s="76"/>
      <c r="PJT1365" s="76"/>
      <c r="PJU1365" s="76"/>
      <c r="PJV1365" s="76"/>
      <c r="PJW1365" s="76"/>
      <c r="PJX1365" s="76"/>
      <c r="PJY1365" s="76"/>
      <c r="PJZ1365" s="76"/>
      <c r="PKA1365" s="76"/>
      <c r="PKB1365" s="76"/>
      <c r="PKC1365" s="76"/>
      <c r="PKD1365" s="76"/>
      <c r="PKE1365" s="76"/>
      <c r="PKF1365" s="76"/>
      <c r="PKG1365" s="76"/>
      <c r="PKH1365" s="76"/>
      <c r="PKI1365" s="76"/>
      <c r="PKJ1365" s="76"/>
      <c r="PKK1365" s="76"/>
      <c r="PKL1365" s="76"/>
      <c r="PKM1365" s="76"/>
      <c r="PKN1365" s="76"/>
      <c r="PKO1365" s="76"/>
      <c r="PKP1365" s="76"/>
      <c r="PKQ1365" s="76"/>
      <c r="PKR1365" s="76"/>
      <c r="PKS1365" s="76"/>
      <c r="PKT1365" s="76"/>
      <c r="PKU1365" s="76"/>
      <c r="PKV1365" s="76"/>
      <c r="PKW1365" s="76"/>
      <c r="PKX1365" s="76"/>
      <c r="PKY1365" s="76"/>
      <c r="PKZ1365" s="76"/>
      <c r="PLA1365" s="76"/>
      <c r="PLB1365" s="76"/>
      <c r="PLC1365" s="76"/>
      <c r="PLD1365" s="76"/>
      <c r="PLE1365" s="76"/>
      <c r="PLF1365" s="76"/>
      <c r="PLG1365" s="76"/>
      <c r="PLH1365" s="76"/>
      <c r="PLI1365" s="76"/>
      <c r="PLJ1365" s="76"/>
      <c r="PLK1365" s="76"/>
      <c r="PLL1365" s="76"/>
      <c r="PLM1365" s="76"/>
      <c r="PLN1365" s="76"/>
      <c r="PLO1365" s="76"/>
      <c r="PLP1365" s="76"/>
      <c r="PLQ1365" s="76"/>
      <c r="PLR1365" s="76"/>
      <c r="PLS1365" s="76"/>
      <c r="PLT1365" s="76"/>
      <c r="PLU1365" s="76"/>
      <c r="PLV1365" s="76"/>
      <c r="PLW1365" s="76"/>
      <c r="PLX1365" s="76"/>
      <c r="PLY1365" s="76"/>
      <c r="PLZ1365" s="76"/>
      <c r="PMA1365" s="76"/>
      <c r="PMB1365" s="76"/>
      <c r="PMC1365" s="76"/>
      <c r="PMD1365" s="76"/>
      <c r="PME1365" s="76"/>
      <c r="PMF1365" s="76"/>
      <c r="PMG1365" s="76"/>
      <c r="PMH1365" s="76"/>
      <c r="PMI1365" s="76"/>
      <c r="PMJ1365" s="76"/>
      <c r="PMK1365" s="76"/>
      <c r="PML1365" s="76"/>
      <c r="PMM1365" s="76"/>
      <c r="PMN1365" s="76"/>
      <c r="PMO1365" s="76"/>
      <c r="PMP1365" s="76"/>
      <c r="PMQ1365" s="76"/>
      <c r="PMR1365" s="76"/>
      <c r="PMS1365" s="76"/>
      <c r="PMT1365" s="76"/>
      <c r="PMU1365" s="76"/>
      <c r="PMV1365" s="76"/>
      <c r="PMW1365" s="76"/>
      <c r="PMX1365" s="76"/>
      <c r="PMY1365" s="76"/>
      <c r="PMZ1365" s="76"/>
      <c r="PNA1365" s="76"/>
      <c r="PNB1365" s="76"/>
      <c r="PNC1365" s="76"/>
      <c r="PND1365" s="76"/>
      <c r="PNE1365" s="76"/>
      <c r="PNF1365" s="76"/>
      <c r="PNG1365" s="76"/>
      <c r="PNH1365" s="76"/>
      <c r="PNI1365" s="76"/>
      <c r="PNJ1365" s="76"/>
      <c r="PNK1365" s="76"/>
      <c r="PNL1365" s="76"/>
      <c r="PNM1365" s="76"/>
      <c r="PNN1365" s="76"/>
      <c r="PNO1365" s="76"/>
      <c r="PNP1365" s="76"/>
      <c r="PNQ1365" s="76"/>
      <c r="PNR1365" s="76"/>
      <c r="PNS1365" s="76"/>
      <c r="PNT1365" s="76"/>
      <c r="PNU1365" s="76"/>
      <c r="PNV1365" s="76"/>
      <c r="PNW1365" s="76"/>
      <c r="PNX1365" s="76"/>
      <c r="PNY1365" s="76"/>
      <c r="PNZ1365" s="76"/>
      <c r="POA1365" s="76"/>
      <c r="POB1365" s="76"/>
      <c r="POC1365" s="76"/>
      <c r="POD1365" s="76"/>
      <c r="POE1365" s="76"/>
      <c r="POF1365" s="76"/>
      <c r="POG1365" s="76"/>
      <c r="POH1365" s="76"/>
      <c r="POI1365" s="76"/>
      <c r="POJ1365" s="76"/>
      <c r="POK1365" s="76"/>
      <c r="POL1365" s="76"/>
      <c r="POM1365" s="76"/>
      <c r="PON1365" s="76"/>
      <c r="POO1365" s="76"/>
      <c r="POP1365" s="76"/>
      <c r="POQ1365" s="76"/>
      <c r="POR1365" s="76"/>
      <c r="POS1365" s="76"/>
      <c r="POT1365" s="76"/>
      <c r="POU1365" s="76"/>
      <c r="POV1365" s="76"/>
      <c r="POW1365" s="76"/>
      <c r="POX1365" s="76"/>
      <c r="POY1365" s="76"/>
      <c r="POZ1365" s="76"/>
      <c r="PPA1365" s="76"/>
      <c r="PPB1365" s="76"/>
      <c r="PPC1365" s="76"/>
      <c r="PPD1365" s="76"/>
      <c r="PPE1365" s="76"/>
      <c r="PPF1365" s="76"/>
      <c r="PPG1365" s="76"/>
      <c r="PPH1365" s="76"/>
      <c r="PPI1365" s="76"/>
      <c r="PPJ1365" s="76"/>
      <c r="PPK1365" s="76"/>
      <c r="PPL1365" s="76"/>
      <c r="PPM1365" s="76"/>
      <c r="PPN1365" s="76"/>
      <c r="PPO1365" s="76"/>
      <c r="PPP1365" s="76"/>
      <c r="PPQ1365" s="76"/>
      <c r="PPR1365" s="76"/>
      <c r="PPS1365" s="76"/>
      <c r="PPT1365" s="76"/>
      <c r="PPU1365" s="76"/>
      <c r="PPV1365" s="76"/>
      <c r="PPW1365" s="76"/>
      <c r="PPX1365" s="76"/>
      <c r="PPY1365" s="76"/>
      <c r="PPZ1365" s="76"/>
      <c r="PQA1365" s="76"/>
      <c r="PQB1365" s="76"/>
      <c r="PQC1365" s="76"/>
      <c r="PQD1365" s="76"/>
      <c r="PQE1365" s="76"/>
      <c r="PQF1365" s="76"/>
      <c r="PQG1365" s="76"/>
      <c r="PQH1365" s="76"/>
      <c r="PQI1365" s="76"/>
      <c r="PQJ1365" s="76"/>
      <c r="PQK1365" s="50"/>
      <c r="PQL1365" s="76"/>
      <c r="PQM1365" s="76"/>
      <c r="PQN1365" s="76"/>
      <c r="PQO1365" s="76"/>
      <c r="PQP1365" s="76"/>
      <c r="PQQ1365" s="76"/>
      <c r="PQR1365" s="76"/>
      <c r="PQS1365" s="76"/>
      <c r="PQT1365" s="76"/>
      <c r="PQU1365" s="76"/>
      <c r="PQV1365" s="76"/>
      <c r="PQW1365" s="76"/>
      <c r="PQX1365" s="76"/>
      <c r="PQY1365" s="76"/>
      <c r="PQZ1365" s="76"/>
      <c r="PRA1365" s="76"/>
      <c r="PRB1365" s="76"/>
      <c r="PRC1365" s="76"/>
      <c r="PRD1365" s="76"/>
      <c r="PRE1365" s="76"/>
      <c r="PRF1365" s="76"/>
      <c r="PRG1365" s="76"/>
      <c r="PRH1365" s="76"/>
      <c r="PRI1365" s="76"/>
      <c r="PRJ1365" s="76"/>
      <c r="PRK1365" s="76"/>
      <c r="PRL1365" s="76"/>
      <c r="PRM1365" s="76"/>
      <c r="PRN1365" s="76"/>
      <c r="PRO1365" s="76"/>
      <c r="PRP1365" s="76"/>
      <c r="PRQ1365" s="76"/>
      <c r="PRR1365" s="76"/>
      <c r="PRS1365" s="76"/>
      <c r="PRT1365" s="76"/>
      <c r="PRU1365" s="76"/>
      <c r="PRV1365" s="76"/>
      <c r="PRW1365" s="76"/>
      <c r="PRX1365" s="76"/>
      <c r="PRY1365" s="76"/>
      <c r="PRZ1365" s="76"/>
      <c r="PSA1365" s="76"/>
      <c r="PSB1365" s="76"/>
      <c r="PSC1365" s="76"/>
      <c r="PSD1365" s="76"/>
      <c r="PSE1365" s="76"/>
      <c r="PSF1365" s="76"/>
      <c r="PSG1365" s="76"/>
      <c r="PSH1365" s="76"/>
      <c r="PSI1365" s="76"/>
      <c r="PSJ1365" s="76"/>
      <c r="PSK1365" s="76"/>
      <c r="PSL1365" s="76"/>
      <c r="PSM1365" s="76"/>
      <c r="PSN1365" s="76"/>
      <c r="PSO1365" s="76"/>
      <c r="PSP1365" s="76"/>
      <c r="PSQ1365" s="76"/>
      <c r="PSR1365" s="76"/>
      <c r="PSS1365" s="76"/>
      <c r="PST1365" s="76"/>
      <c r="PSU1365" s="76"/>
      <c r="PSV1365" s="76"/>
      <c r="PSW1365" s="76"/>
      <c r="PSX1365" s="76"/>
      <c r="PSY1365" s="76"/>
      <c r="PSZ1365" s="76"/>
      <c r="PTA1365" s="76"/>
      <c r="PTB1365" s="76"/>
      <c r="PTC1365" s="76"/>
      <c r="PTD1365" s="76"/>
      <c r="PTE1365" s="76"/>
      <c r="PTF1365" s="76"/>
      <c r="PTG1365" s="76"/>
      <c r="PTH1365" s="76"/>
      <c r="PTI1365" s="76"/>
      <c r="PTJ1365" s="76"/>
      <c r="PTK1365" s="76"/>
      <c r="PTL1365" s="76"/>
      <c r="PTM1365" s="76"/>
      <c r="PTN1365" s="76"/>
      <c r="PTO1365" s="76"/>
      <c r="PTP1365" s="76"/>
      <c r="PTQ1365" s="76"/>
      <c r="PTR1365" s="76"/>
      <c r="PTS1365" s="76"/>
      <c r="PTT1365" s="76"/>
      <c r="PTU1365" s="76"/>
      <c r="PTV1365" s="76"/>
      <c r="PTW1365" s="76"/>
      <c r="PTX1365" s="76"/>
      <c r="PTY1365" s="76"/>
      <c r="PTZ1365" s="76"/>
      <c r="PUA1365" s="76"/>
      <c r="PUB1365" s="76"/>
      <c r="PUC1365" s="76"/>
      <c r="PUD1365" s="76"/>
      <c r="PUE1365" s="76"/>
      <c r="PUF1365" s="76"/>
      <c r="PUG1365" s="76"/>
      <c r="PUH1365" s="76"/>
      <c r="PUI1365" s="76"/>
      <c r="PUJ1365" s="76"/>
      <c r="PUK1365" s="76"/>
      <c r="PUL1365" s="76"/>
      <c r="PUM1365" s="76"/>
      <c r="PUN1365" s="76"/>
      <c r="PUO1365" s="76"/>
      <c r="PUP1365" s="76"/>
      <c r="PUQ1365" s="76"/>
      <c r="PUR1365" s="76"/>
      <c r="PUS1365" s="76"/>
      <c r="PUT1365" s="76"/>
      <c r="PUU1365" s="76"/>
      <c r="PUV1365" s="76"/>
      <c r="PUW1365" s="76"/>
      <c r="PUX1365" s="76"/>
      <c r="PUY1365" s="76"/>
      <c r="PUZ1365" s="76"/>
      <c r="PVA1365" s="76"/>
      <c r="PVB1365" s="76"/>
      <c r="PVC1365" s="76"/>
      <c r="PVD1365" s="76"/>
      <c r="PVE1365" s="76"/>
      <c r="PVF1365" s="76"/>
      <c r="PVG1365" s="76"/>
      <c r="PVH1365" s="76"/>
      <c r="PVI1365" s="76"/>
      <c r="PVJ1365" s="76"/>
      <c r="PVK1365" s="76"/>
      <c r="PVL1365" s="76"/>
      <c r="PVM1365" s="76"/>
      <c r="PVN1365" s="76"/>
      <c r="PVO1365" s="76"/>
      <c r="PVP1365" s="76"/>
      <c r="PVQ1365" s="76"/>
      <c r="PVR1365" s="76"/>
      <c r="PVS1365" s="76"/>
      <c r="PVT1365" s="76"/>
      <c r="PVU1365" s="76"/>
      <c r="PVV1365" s="76"/>
      <c r="PVW1365" s="76"/>
      <c r="PVX1365" s="76"/>
      <c r="PVY1365" s="76"/>
      <c r="PVZ1365" s="76"/>
      <c r="PWA1365" s="76"/>
      <c r="PWB1365" s="76"/>
      <c r="PWC1365" s="76"/>
      <c r="PWD1365" s="76"/>
      <c r="PWE1365" s="76"/>
      <c r="PWF1365" s="76"/>
      <c r="PWG1365" s="76"/>
      <c r="PWH1365" s="76"/>
      <c r="PWI1365" s="76"/>
      <c r="PWJ1365" s="76"/>
      <c r="PWK1365" s="76"/>
      <c r="PWL1365" s="76"/>
      <c r="PWM1365" s="76"/>
      <c r="PWN1365" s="76"/>
      <c r="PWO1365" s="76"/>
      <c r="PWP1365" s="76"/>
      <c r="PWQ1365" s="76"/>
      <c r="PWR1365" s="76"/>
      <c r="PWS1365" s="76"/>
      <c r="PWT1365" s="76"/>
      <c r="PWU1365" s="76"/>
      <c r="PWV1365" s="76"/>
      <c r="PWW1365" s="76"/>
      <c r="PWX1365" s="76"/>
      <c r="PWY1365" s="76"/>
      <c r="PWZ1365" s="76"/>
      <c r="PXA1365" s="76"/>
      <c r="PXB1365" s="76"/>
      <c r="PXC1365" s="76"/>
      <c r="PXD1365" s="76"/>
      <c r="PXE1365" s="76"/>
      <c r="PXF1365" s="76"/>
      <c r="PXG1365" s="76"/>
      <c r="PXH1365" s="76"/>
      <c r="PXI1365" s="76"/>
      <c r="PXJ1365" s="76"/>
      <c r="PXK1365" s="76"/>
      <c r="PXL1365" s="76"/>
      <c r="PXM1365" s="76"/>
      <c r="PXN1365" s="76"/>
      <c r="PXO1365" s="76"/>
      <c r="PXP1365" s="76"/>
      <c r="PXQ1365" s="76"/>
      <c r="PXR1365" s="76"/>
      <c r="PXS1365" s="76"/>
      <c r="PXT1365" s="76"/>
      <c r="PXU1365" s="76"/>
      <c r="PXV1365" s="76"/>
      <c r="PXW1365" s="76"/>
      <c r="PXX1365" s="76"/>
      <c r="PXY1365" s="76"/>
      <c r="PXZ1365" s="76"/>
      <c r="PYA1365" s="76"/>
      <c r="PYB1365" s="76"/>
      <c r="PYC1365" s="76"/>
      <c r="PYD1365" s="76"/>
      <c r="PYE1365" s="76"/>
      <c r="PYF1365" s="76"/>
      <c r="PYG1365" s="76"/>
      <c r="PYH1365" s="76"/>
      <c r="PYI1365" s="76"/>
      <c r="PYJ1365" s="76"/>
      <c r="PYK1365" s="76"/>
      <c r="PYL1365" s="76"/>
      <c r="PYM1365" s="76"/>
      <c r="PYN1365" s="76"/>
      <c r="PYO1365" s="76"/>
      <c r="PYP1365" s="76"/>
      <c r="PYQ1365" s="76"/>
      <c r="PYR1365" s="76"/>
      <c r="PYS1365" s="76"/>
      <c r="PYT1365" s="76"/>
      <c r="PYU1365" s="76"/>
      <c r="PYV1365" s="76"/>
      <c r="PYW1365" s="76"/>
      <c r="PYX1365" s="76"/>
      <c r="PYY1365" s="76"/>
      <c r="PYZ1365" s="76"/>
      <c r="PZA1365" s="76"/>
      <c r="PZB1365" s="76"/>
      <c r="PZC1365" s="76"/>
      <c r="PZD1365" s="76"/>
      <c r="PZE1365" s="76"/>
      <c r="PZF1365" s="76"/>
      <c r="PZG1365" s="76"/>
      <c r="PZH1365" s="76"/>
      <c r="PZI1365" s="76"/>
      <c r="PZJ1365" s="76"/>
      <c r="PZK1365" s="76"/>
      <c r="PZL1365" s="76"/>
      <c r="PZM1365" s="76"/>
      <c r="PZN1365" s="76"/>
      <c r="PZO1365" s="76"/>
      <c r="PZP1365" s="76"/>
      <c r="PZQ1365" s="76"/>
      <c r="PZR1365" s="76"/>
      <c r="PZS1365" s="76"/>
      <c r="PZT1365" s="76"/>
      <c r="PZU1365" s="76"/>
      <c r="PZV1365" s="76"/>
      <c r="PZW1365" s="76"/>
      <c r="PZX1365" s="76"/>
      <c r="PZY1365" s="76"/>
      <c r="PZZ1365" s="76"/>
      <c r="QAA1365" s="76"/>
      <c r="QAB1365" s="76"/>
      <c r="QAC1365" s="76"/>
      <c r="QAD1365" s="76"/>
      <c r="QAE1365" s="76"/>
      <c r="QAF1365" s="76"/>
      <c r="QAG1365" s="50"/>
      <c r="QAH1365" s="76"/>
      <c r="QAI1365" s="76"/>
      <c r="QAJ1365" s="76"/>
      <c r="QAK1365" s="76"/>
      <c r="QAL1365" s="76"/>
      <c r="QAM1365" s="76"/>
      <c r="QAN1365" s="76"/>
      <c r="QAO1365" s="76"/>
      <c r="QAP1365" s="76"/>
      <c r="QAQ1365" s="76"/>
      <c r="QAR1365" s="76"/>
      <c r="QAS1365" s="76"/>
      <c r="QAT1365" s="76"/>
      <c r="QAU1365" s="76"/>
      <c r="QAV1365" s="76"/>
      <c r="QAW1365" s="76"/>
      <c r="QAX1365" s="76"/>
      <c r="QAY1365" s="76"/>
      <c r="QAZ1365" s="76"/>
      <c r="QBA1365" s="76"/>
      <c r="QBB1365" s="76"/>
      <c r="QBC1365" s="76"/>
      <c r="QBD1365" s="76"/>
      <c r="QBE1365" s="76"/>
      <c r="QBF1365" s="76"/>
      <c r="QBG1365" s="76"/>
      <c r="QBH1365" s="76"/>
      <c r="QBI1365" s="76"/>
      <c r="QBJ1365" s="76"/>
      <c r="QBK1365" s="76"/>
      <c r="QBL1365" s="76"/>
      <c r="QBM1365" s="76"/>
      <c r="QBN1365" s="76"/>
      <c r="QBO1365" s="76"/>
      <c r="QBP1365" s="76"/>
      <c r="QBQ1365" s="76"/>
      <c r="QBR1365" s="76"/>
      <c r="QBS1365" s="76"/>
      <c r="QBT1365" s="76"/>
      <c r="QBU1365" s="76"/>
      <c r="QBV1365" s="76"/>
      <c r="QBW1365" s="76"/>
      <c r="QBX1365" s="76"/>
      <c r="QBY1365" s="76"/>
      <c r="QBZ1365" s="76"/>
      <c r="QCA1365" s="76"/>
      <c r="QCB1365" s="76"/>
      <c r="QCC1365" s="76"/>
      <c r="QCD1365" s="76"/>
      <c r="QCE1365" s="76"/>
      <c r="QCF1365" s="76"/>
      <c r="QCG1365" s="76"/>
      <c r="QCH1365" s="76"/>
      <c r="QCI1365" s="76"/>
      <c r="QCJ1365" s="76"/>
      <c r="QCK1365" s="76"/>
      <c r="QCL1365" s="76"/>
      <c r="QCM1365" s="76"/>
      <c r="QCN1365" s="76"/>
      <c r="QCO1365" s="76"/>
      <c r="QCP1365" s="76"/>
      <c r="QCQ1365" s="76"/>
      <c r="QCR1365" s="76"/>
      <c r="QCS1365" s="76"/>
      <c r="QCT1365" s="76"/>
      <c r="QCU1365" s="76"/>
      <c r="QCV1365" s="76"/>
      <c r="QCW1365" s="76"/>
      <c r="QCX1365" s="76"/>
      <c r="QCY1365" s="76"/>
      <c r="QCZ1365" s="76"/>
      <c r="QDA1365" s="76"/>
      <c r="QDB1365" s="76"/>
      <c r="QDC1365" s="76"/>
      <c r="QDD1365" s="76"/>
      <c r="QDE1365" s="76"/>
      <c r="QDF1365" s="76"/>
      <c r="QDG1365" s="76"/>
      <c r="QDH1365" s="76"/>
      <c r="QDI1365" s="76"/>
      <c r="QDJ1365" s="76"/>
      <c r="QDK1365" s="76"/>
      <c r="QDL1365" s="76"/>
      <c r="QDM1365" s="76"/>
      <c r="QDN1365" s="76"/>
      <c r="QDO1365" s="76"/>
      <c r="QDP1365" s="76"/>
      <c r="QDQ1365" s="76"/>
      <c r="QDR1365" s="76"/>
      <c r="QDS1365" s="76"/>
      <c r="QDT1365" s="76"/>
      <c r="QDU1365" s="76"/>
      <c r="QDV1365" s="76"/>
      <c r="QDW1365" s="76"/>
      <c r="QDX1365" s="76"/>
      <c r="QDY1365" s="76"/>
      <c r="QDZ1365" s="76"/>
      <c r="QEA1365" s="76"/>
      <c r="QEB1365" s="76"/>
      <c r="QEC1365" s="76"/>
      <c r="QED1365" s="76"/>
      <c r="QEE1365" s="76"/>
      <c r="QEF1365" s="76"/>
      <c r="QEG1365" s="76"/>
      <c r="QEH1365" s="76"/>
      <c r="QEI1365" s="76"/>
      <c r="QEJ1365" s="76"/>
      <c r="QEK1365" s="76"/>
      <c r="QEL1365" s="76"/>
      <c r="QEM1365" s="76"/>
      <c r="QEN1365" s="76"/>
      <c r="QEO1365" s="76"/>
      <c r="QEP1365" s="76"/>
      <c r="QEQ1365" s="76"/>
      <c r="QER1365" s="76"/>
      <c r="QES1365" s="76"/>
      <c r="QET1365" s="76"/>
      <c r="QEU1365" s="76"/>
      <c r="QEV1365" s="76"/>
      <c r="QEW1365" s="76"/>
      <c r="QEX1365" s="76"/>
      <c r="QEY1365" s="76"/>
      <c r="QEZ1365" s="76"/>
      <c r="QFA1365" s="76"/>
      <c r="QFB1365" s="76"/>
      <c r="QFC1365" s="76"/>
      <c r="QFD1365" s="76"/>
      <c r="QFE1365" s="76"/>
      <c r="QFF1365" s="76"/>
      <c r="QFG1365" s="76"/>
      <c r="QFH1365" s="76"/>
      <c r="QFI1365" s="76"/>
      <c r="QFJ1365" s="76"/>
      <c r="QFK1365" s="76"/>
      <c r="QFL1365" s="76"/>
      <c r="QFM1365" s="76"/>
      <c r="QFN1365" s="76"/>
      <c r="QFO1365" s="76"/>
      <c r="QFP1365" s="76"/>
      <c r="QFQ1365" s="76"/>
      <c r="QFR1365" s="76"/>
      <c r="QFS1365" s="76"/>
      <c r="QFT1365" s="76"/>
      <c r="QFU1365" s="76"/>
      <c r="QFV1365" s="76"/>
      <c r="QFW1365" s="76"/>
      <c r="QFX1365" s="76"/>
      <c r="QFY1365" s="76"/>
      <c r="QFZ1365" s="76"/>
      <c r="QGA1365" s="76"/>
      <c r="QGB1365" s="76"/>
      <c r="QGC1365" s="76"/>
      <c r="QGD1365" s="76"/>
      <c r="QGE1365" s="76"/>
      <c r="QGF1365" s="76"/>
      <c r="QGG1365" s="76"/>
      <c r="QGH1365" s="76"/>
      <c r="QGI1365" s="76"/>
      <c r="QGJ1365" s="76"/>
      <c r="QGK1365" s="76"/>
      <c r="QGL1365" s="76"/>
      <c r="QGM1365" s="76"/>
      <c r="QGN1365" s="76"/>
      <c r="QGO1365" s="76"/>
      <c r="QGP1365" s="76"/>
      <c r="QGQ1365" s="76"/>
      <c r="QGR1365" s="76"/>
      <c r="QGS1365" s="76"/>
      <c r="QGT1365" s="76"/>
      <c r="QGU1365" s="76"/>
      <c r="QGV1365" s="76"/>
      <c r="QGW1365" s="76"/>
      <c r="QGX1365" s="76"/>
      <c r="QGY1365" s="76"/>
      <c r="QGZ1365" s="76"/>
      <c r="QHA1365" s="76"/>
      <c r="QHB1365" s="76"/>
      <c r="QHC1365" s="76"/>
      <c r="QHD1365" s="76"/>
      <c r="QHE1365" s="76"/>
      <c r="QHF1365" s="76"/>
      <c r="QHG1365" s="76"/>
      <c r="QHH1365" s="76"/>
      <c r="QHI1365" s="76"/>
      <c r="QHJ1365" s="76"/>
      <c r="QHK1365" s="76"/>
      <c r="QHL1365" s="76"/>
      <c r="QHM1365" s="76"/>
      <c r="QHN1365" s="76"/>
      <c r="QHO1365" s="76"/>
      <c r="QHP1365" s="76"/>
      <c r="QHQ1365" s="76"/>
      <c r="QHR1365" s="76"/>
      <c r="QHS1365" s="76"/>
      <c r="QHT1365" s="76"/>
      <c r="QHU1365" s="76"/>
      <c r="QHV1365" s="76"/>
      <c r="QHW1365" s="76"/>
      <c r="QHX1365" s="76"/>
      <c r="QHY1365" s="76"/>
      <c r="QHZ1365" s="76"/>
      <c r="QIA1365" s="76"/>
      <c r="QIB1365" s="76"/>
      <c r="QIC1365" s="76"/>
      <c r="QID1365" s="76"/>
      <c r="QIE1365" s="76"/>
      <c r="QIF1365" s="76"/>
      <c r="QIG1365" s="76"/>
      <c r="QIH1365" s="76"/>
      <c r="QII1365" s="76"/>
      <c r="QIJ1365" s="76"/>
      <c r="QIK1365" s="76"/>
      <c r="QIL1365" s="76"/>
      <c r="QIM1365" s="76"/>
      <c r="QIN1365" s="76"/>
      <c r="QIO1365" s="76"/>
      <c r="QIP1365" s="76"/>
      <c r="QIQ1365" s="76"/>
      <c r="QIR1365" s="76"/>
      <c r="QIS1365" s="76"/>
      <c r="QIT1365" s="76"/>
      <c r="QIU1365" s="76"/>
      <c r="QIV1365" s="76"/>
      <c r="QIW1365" s="76"/>
      <c r="QIX1365" s="76"/>
      <c r="QIY1365" s="76"/>
      <c r="QIZ1365" s="76"/>
      <c r="QJA1365" s="76"/>
      <c r="QJB1365" s="76"/>
      <c r="QJC1365" s="76"/>
      <c r="QJD1365" s="76"/>
      <c r="QJE1365" s="76"/>
      <c r="QJF1365" s="76"/>
      <c r="QJG1365" s="76"/>
      <c r="QJH1365" s="76"/>
      <c r="QJI1365" s="76"/>
      <c r="QJJ1365" s="76"/>
      <c r="QJK1365" s="76"/>
      <c r="QJL1365" s="76"/>
      <c r="QJM1365" s="76"/>
      <c r="QJN1365" s="76"/>
      <c r="QJO1365" s="76"/>
      <c r="QJP1365" s="76"/>
      <c r="QJQ1365" s="76"/>
      <c r="QJR1365" s="76"/>
      <c r="QJS1365" s="76"/>
      <c r="QJT1365" s="76"/>
      <c r="QJU1365" s="76"/>
      <c r="QJV1365" s="76"/>
      <c r="QJW1365" s="76"/>
      <c r="QJX1365" s="76"/>
      <c r="QJY1365" s="76"/>
      <c r="QJZ1365" s="76"/>
      <c r="QKA1365" s="76"/>
      <c r="QKB1365" s="76"/>
      <c r="QKC1365" s="50"/>
      <c r="QKD1365" s="76"/>
      <c r="QKE1365" s="76"/>
      <c r="QKF1365" s="76"/>
      <c r="QKG1365" s="76"/>
      <c r="QKH1365" s="76"/>
      <c r="QKI1365" s="76"/>
      <c r="QKJ1365" s="76"/>
      <c r="QKK1365" s="76"/>
      <c r="QKL1365" s="76"/>
      <c r="QKM1365" s="76"/>
      <c r="QKN1365" s="76"/>
      <c r="QKO1365" s="76"/>
      <c r="QKP1365" s="76"/>
      <c r="QKQ1365" s="76"/>
      <c r="QKR1365" s="76"/>
      <c r="QKS1365" s="76"/>
      <c r="QKT1365" s="76"/>
      <c r="QKU1365" s="76"/>
      <c r="QKV1365" s="76"/>
      <c r="QKW1365" s="76"/>
      <c r="QKX1365" s="76"/>
      <c r="QKY1365" s="76"/>
      <c r="QKZ1365" s="76"/>
      <c r="QLA1365" s="76"/>
      <c r="QLB1365" s="76"/>
      <c r="QLC1365" s="76"/>
      <c r="QLD1365" s="76"/>
      <c r="QLE1365" s="76"/>
      <c r="QLF1365" s="76"/>
      <c r="QLG1365" s="76"/>
      <c r="QLH1365" s="76"/>
      <c r="QLI1365" s="76"/>
      <c r="QLJ1365" s="76"/>
      <c r="QLK1365" s="76"/>
      <c r="QLL1365" s="76"/>
      <c r="QLM1365" s="76"/>
      <c r="QLN1365" s="76"/>
      <c r="QLO1365" s="76"/>
      <c r="QLP1365" s="76"/>
      <c r="QLQ1365" s="76"/>
      <c r="QLR1365" s="76"/>
      <c r="QLS1365" s="76"/>
      <c r="QLT1365" s="76"/>
      <c r="QLU1365" s="76"/>
      <c r="QLV1365" s="76"/>
      <c r="QLW1365" s="76"/>
      <c r="QLX1365" s="76"/>
      <c r="QLY1365" s="76"/>
      <c r="QLZ1365" s="76"/>
      <c r="QMA1365" s="76"/>
      <c r="QMB1365" s="76"/>
      <c r="QMC1365" s="76"/>
      <c r="QMD1365" s="76"/>
      <c r="QME1365" s="76"/>
      <c r="QMF1365" s="76"/>
      <c r="QMG1365" s="76"/>
      <c r="QMH1365" s="76"/>
      <c r="QMI1365" s="76"/>
      <c r="QMJ1365" s="76"/>
      <c r="QMK1365" s="76"/>
      <c r="QML1365" s="76"/>
      <c r="QMM1365" s="76"/>
      <c r="QMN1365" s="76"/>
      <c r="QMO1365" s="76"/>
      <c r="QMP1365" s="76"/>
      <c r="QMQ1365" s="76"/>
      <c r="QMR1365" s="76"/>
      <c r="QMS1365" s="76"/>
      <c r="QMT1365" s="76"/>
      <c r="QMU1365" s="76"/>
      <c r="QMV1365" s="76"/>
      <c r="QMW1365" s="76"/>
      <c r="QMX1365" s="76"/>
      <c r="QMY1365" s="76"/>
      <c r="QMZ1365" s="76"/>
      <c r="QNA1365" s="76"/>
      <c r="QNB1365" s="76"/>
      <c r="QNC1365" s="76"/>
      <c r="QND1365" s="76"/>
      <c r="QNE1365" s="76"/>
      <c r="QNF1365" s="76"/>
      <c r="QNG1365" s="76"/>
      <c r="QNH1365" s="76"/>
      <c r="QNI1365" s="76"/>
      <c r="QNJ1365" s="76"/>
      <c r="QNK1365" s="76"/>
      <c r="QNL1365" s="76"/>
      <c r="QNM1365" s="76"/>
      <c r="QNN1365" s="76"/>
      <c r="QNO1365" s="76"/>
      <c r="QNP1365" s="76"/>
      <c r="QNQ1365" s="76"/>
      <c r="QNR1365" s="76"/>
      <c r="QNS1365" s="76"/>
      <c r="QNT1365" s="76"/>
      <c r="QNU1365" s="76"/>
      <c r="QNV1365" s="76"/>
      <c r="QNW1365" s="76"/>
      <c r="QNX1365" s="76"/>
      <c r="QNY1365" s="76"/>
      <c r="QNZ1365" s="76"/>
      <c r="QOA1365" s="76"/>
      <c r="QOB1365" s="76"/>
      <c r="QOC1365" s="76"/>
      <c r="QOD1365" s="76"/>
      <c r="QOE1365" s="76"/>
      <c r="QOF1365" s="76"/>
      <c r="QOG1365" s="76"/>
      <c r="QOH1365" s="76"/>
      <c r="QOI1365" s="76"/>
      <c r="QOJ1365" s="76"/>
      <c r="QOK1365" s="76"/>
      <c r="QOL1365" s="76"/>
      <c r="QOM1365" s="76"/>
      <c r="QON1365" s="76"/>
      <c r="QOO1365" s="76"/>
      <c r="QOP1365" s="76"/>
      <c r="QOQ1365" s="76"/>
      <c r="QOR1365" s="76"/>
      <c r="QOS1365" s="76"/>
      <c r="QOT1365" s="76"/>
      <c r="QOU1365" s="76"/>
      <c r="QOV1365" s="76"/>
      <c r="QOW1365" s="76"/>
      <c r="QOX1365" s="76"/>
      <c r="QOY1365" s="76"/>
      <c r="QOZ1365" s="76"/>
      <c r="QPA1365" s="76"/>
      <c r="QPB1365" s="76"/>
      <c r="QPC1365" s="76"/>
      <c r="QPD1365" s="76"/>
      <c r="QPE1365" s="76"/>
      <c r="QPF1365" s="76"/>
      <c r="QPG1365" s="76"/>
      <c r="QPH1365" s="76"/>
      <c r="QPI1365" s="76"/>
      <c r="QPJ1365" s="76"/>
      <c r="QPK1365" s="76"/>
      <c r="QPL1365" s="76"/>
      <c r="QPM1365" s="76"/>
      <c r="QPN1365" s="76"/>
      <c r="QPO1365" s="76"/>
      <c r="QPP1365" s="76"/>
      <c r="QPQ1365" s="76"/>
      <c r="QPR1365" s="76"/>
      <c r="QPS1365" s="76"/>
      <c r="QPT1365" s="76"/>
      <c r="QPU1365" s="76"/>
      <c r="QPV1365" s="76"/>
      <c r="QPW1365" s="76"/>
      <c r="QPX1365" s="76"/>
      <c r="QPY1365" s="76"/>
      <c r="QPZ1365" s="76"/>
      <c r="QQA1365" s="76"/>
      <c r="QQB1365" s="76"/>
      <c r="QQC1365" s="76"/>
      <c r="QQD1365" s="76"/>
      <c r="QQE1365" s="76"/>
      <c r="QQF1365" s="76"/>
      <c r="QQG1365" s="76"/>
      <c r="QQH1365" s="76"/>
      <c r="QQI1365" s="76"/>
      <c r="QQJ1365" s="76"/>
      <c r="QQK1365" s="76"/>
      <c r="QQL1365" s="76"/>
      <c r="QQM1365" s="76"/>
      <c r="QQN1365" s="76"/>
      <c r="QQO1365" s="76"/>
      <c r="QQP1365" s="76"/>
      <c r="QQQ1365" s="76"/>
      <c r="QQR1365" s="76"/>
      <c r="QQS1365" s="76"/>
      <c r="QQT1365" s="76"/>
      <c r="QQU1365" s="76"/>
      <c r="QQV1365" s="76"/>
      <c r="QQW1365" s="76"/>
      <c r="QQX1365" s="76"/>
      <c r="QQY1365" s="76"/>
      <c r="QQZ1365" s="76"/>
      <c r="QRA1365" s="76"/>
      <c r="QRB1365" s="76"/>
      <c r="QRC1365" s="76"/>
      <c r="QRD1365" s="76"/>
      <c r="QRE1365" s="76"/>
      <c r="QRF1365" s="76"/>
      <c r="QRG1365" s="76"/>
      <c r="QRH1365" s="76"/>
      <c r="QRI1365" s="76"/>
      <c r="QRJ1365" s="76"/>
      <c r="QRK1365" s="76"/>
      <c r="QRL1365" s="76"/>
      <c r="QRM1365" s="76"/>
      <c r="QRN1365" s="76"/>
      <c r="QRO1365" s="76"/>
      <c r="QRP1365" s="76"/>
      <c r="QRQ1365" s="76"/>
      <c r="QRR1365" s="76"/>
      <c r="QRS1365" s="76"/>
      <c r="QRT1365" s="76"/>
      <c r="QRU1365" s="76"/>
      <c r="QRV1365" s="76"/>
      <c r="QRW1365" s="76"/>
      <c r="QRX1365" s="76"/>
      <c r="QRY1365" s="76"/>
      <c r="QRZ1365" s="76"/>
      <c r="QSA1365" s="76"/>
      <c r="QSB1365" s="76"/>
      <c r="QSC1365" s="76"/>
      <c r="QSD1365" s="76"/>
      <c r="QSE1365" s="76"/>
      <c r="QSF1365" s="76"/>
      <c r="QSG1365" s="76"/>
      <c r="QSH1365" s="76"/>
      <c r="QSI1365" s="76"/>
      <c r="QSJ1365" s="76"/>
      <c r="QSK1365" s="76"/>
      <c r="QSL1365" s="76"/>
      <c r="QSM1365" s="76"/>
      <c r="QSN1365" s="76"/>
      <c r="QSO1365" s="76"/>
      <c r="QSP1365" s="76"/>
      <c r="QSQ1365" s="76"/>
      <c r="QSR1365" s="76"/>
      <c r="QSS1365" s="76"/>
      <c r="QST1365" s="76"/>
      <c r="QSU1365" s="76"/>
      <c r="QSV1365" s="76"/>
      <c r="QSW1365" s="76"/>
      <c r="QSX1365" s="76"/>
      <c r="QSY1365" s="76"/>
      <c r="QSZ1365" s="76"/>
      <c r="QTA1365" s="76"/>
      <c r="QTB1365" s="76"/>
      <c r="QTC1365" s="76"/>
      <c r="QTD1365" s="76"/>
      <c r="QTE1365" s="76"/>
      <c r="QTF1365" s="76"/>
      <c r="QTG1365" s="76"/>
      <c r="QTH1365" s="76"/>
      <c r="QTI1365" s="76"/>
      <c r="QTJ1365" s="76"/>
      <c r="QTK1365" s="76"/>
      <c r="QTL1365" s="76"/>
      <c r="QTM1365" s="76"/>
      <c r="QTN1365" s="76"/>
      <c r="QTO1365" s="76"/>
      <c r="QTP1365" s="76"/>
      <c r="QTQ1365" s="76"/>
      <c r="QTR1365" s="76"/>
      <c r="QTS1365" s="76"/>
      <c r="QTT1365" s="76"/>
      <c r="QTU1365" s="76"/>
      <c r="QTV1365" s="76"/>
      <c r="QTW1365" s="76"/>
      <c r="QTX1365" s="76"/>
      <c r="QTY1365" s="50"/>
      <c r="QTZ1365" s="76"/>
      <c r="QUA1365" s="76"/>
      <c r="QUB1365" s="76"/>
      <c r="QUC1365" s="76"/>
      <c r="QUD1365" s="76"/>
      <c r="QUE1365" s="76"/>
      <c r="QUF1365" s="76"/>
      <c r="QUG1365" s="76"/>
      <c r="QUH1365" s="76"/>
      <c r="QUI1365" s="76"/>
      <c r="QUJ1365" s="76"/>
      <c r="QUK1365" s="76"/>
      <c r="QUL1365" s="76"/>
      <c r="QUM1365" s="76"/>
      <c r="QUN1365" s="76"/>
      <c r="QUO1365" s="76"/>
      <c r="QUP1365" s="76"/>
      <c r="QUQ1365" s="76"/>
      <c r="QUR1365" s="76"/>
      <c r="QUS1365" s="76"/>
      <c r="QUT1365" s="76"/>
      <c r="QUU1365" s="76"/>
      <c r="QUV1365" s="76"/>
      <c r="QUW1365" s="76"/>
      <c r="QUX1365" s="76"/>
      <c r="QUY1365" s="76"/>
      <c r="QUZ1365" s="76"/>
      <c r="QVA1365" s="76"/>
      <c r="QVB1365" s="76"/>
      <c r="QVC1365" s="76"/>
      <c r="QVD1365" s="76"/>
      <c r="QVE1365" s="76"/>
      <c r="QVF1365" s="76"/>
      <c r="QVG1365" s="76"/>
      <c r="QVH1365" s="76"/>
      <c r="QVI1365" s="76"/>
      <c r="QVJ1365" s="76"/>
      <c r="QVK1365" s="76"/>
      <c r="QVL1365" s="76"/>
      <c r="QVM1365" s="76"/>
      <c r="QVN1365" s="76"/>
      <c r="QVO1365" s="76"/>
      <c r="QVP1365" s="76"/>
      <c r="QVQ1365" s="76"/>
      <c r="QVR1365" s="76"/>
      <c r="QVS1365" s="76"/>
      <c r="QVT1365" s="76"/>
      <c r="QVU1365" s="76"/>
      <c r="QVV1365" s="76"/>
      <c r="QVW1365" s="76"/>
      <c r="QVX1365" s="76"/>
      <c r="QVY1365" s="76"/>
      <c r="QVZ1365" s="76"/>
      <c r="QWA1365" s="76"/>
      <c r="QWB1365" s="76"/>
      <c r="QWC1365" s="76"/>
      <c r="QWD1365" s="76"/>
      <c r="QWE1365" s="76"/>
      <c r="QWF1365" s="76"/>
      <c r="QWG1365" s="76"/>
      <c r="QWH1365" s="76"/>
      <c r="QWI1365" s="76"/>
      <c r="QWJ1365" s="76"/>
      <c r="QWK1365" s="76"/>
      <c r="QWL1365" s="76"/>
      <c r="QWM1365" s="76"/>
      <c r="QWN1365" s="76"/>
      <c r="QWO1365" s="76"/>
      <c r="QWP1365" s="76"/>
      <c r="QWQ1365" s="76"/>
      <c r="QWR1365" s="76"/>
      <c r="QWS1365" s="76"/>
      <c r="QWT1365" s="76"/>
      <c r="QWU1365" s="76"/>
      <c r="QWV1365" s="76"/>
      <c r="QWW1365" s="76"/>
      <c r="QWX1365" s="76"/>
      <c r="QWY1365" s="76"/>
      <c r="QWZ1365" s="76"/>
      <c r="QXA1365" s="76"/>
      <c r="QXB1365" s="76"/>
      <c r="QXC1365" s="76"/>
      <c r="QXD1365" s="76"/>
      <c r="QXE1365" s="76"/>
      <c r="QXF1365" s="76"/>
      <c r="QXG1365" s="76"/>
      <c r="QXH1365" s="76"/>
      <c r="QXI1365" s="76"/>
      <c r="QXJ1365" s="76"/>
      <c r="QXK1365" s="76"/>
      <c r="QXL1365" s="76"/>
      <c r="QXM1365" s="76"/>
      <c r="QXN1365" s="76"/>
      <c r="QXO1365" s="76"/>
      <c r="QXP1365" s="76"/>
      <c r="QXQ1365" s="76"/>
      <c r="QXR1365" s="76"/>
      <c r="QXS1365" s="76"/>
      <c r="QXT1365" s="76"/>
      <c r="QXU1365" s="76"/>
      <c r="QXV1365" s="76"/>
      <c r="QXW1365" s="76"/>
      <c r="QXX1365" s="76"/>
      <c r="QXY1365" s="76"/>
      <c r="QXZ1365" s="76"/>
      <c r="QYA1365" s="76"/>
      <c r="QYB1365" s="76"/>
      <c r="QYC1365" s="76"/>
      <c r="QYD1365" s="76"/>
      <c r="QYE1365" s="76"/>
      <c r="QYF1365" s="76"/>
      <c r="QYG1365" s="76"/>
      <c r="QYH1365" s="76"/>
      <c r="QYI1365" s="76"/>
      <c r="QYJ1365" s="76"/>
      <c r="QYK1365" s="76"/>
      <c r="QYL1365" s="76"/>
      <c r="QYM1365" s="76"/>
      <c r="QYN1365" s="76"/>
      <c r="QYO1365" s="76"/>
      <c r="QYP1365" s="76"/>
      <c r="QYQ1365" s="76"/>
      <c r="QYR1365" s="76"/>
      <c r="QYS1365" s="76"/>
      <c r="QYT1365" s="76"/>
      <c r="QYU1365" s="76"/>
      <c r="QYV1365" s="76"/>
      <c r="QYW1365" s="76"/>
      <c r="QYX1365" s="76"/>
      <c r="QYY1365" s="76"/>
      <c r="QYZ1365" s="76"/>
      <c r="QZA1365" s="76"/>
      <c r="QZB1365" s="76"/>
      <c r="QZC1365" s="76"/>
      <c r="QZD1365" s="76"/>
      <c r="QZE1365" s="76"/>
      <c r="QZF1365" s="76"/>
      <c r="QZG1365" s="76"/>
      <c r="QZH1365" s="76"/>
      <c r="QZI1365" s="76"/>
      <c r="QZJ1365" s="76"/>
      <c r="QZK1365" s="76"/>
      <c r="QZL1365" s="76"/>
      <c r="QZM1365" s="76"/>
      <c r="QZN1365" s="76"/>
      <c r="QZO1365" s="76"/>
      <c r="QZP1365" s="76"/>
      <c r="QZQ1365" s="76"/>
      <c r="QZR1365" s="76"/>
      <c r="QZS1365" s="76"/>
      <c r="QZT1365" s="76"/>
      <c r="QZU1365" s="76"/>
      <c r="QZV1365" s="76"/>
      <c r="QZW1365" s="76"/>
      <c r="QZX1365" s="76"/>
      <c r="QZY1365" s="76"/>
      <c r="QZZ1365" s="76"/>
      <c r="RAA1365" s="76"/>
      <c r="RAB1365" s="76"/>
      <c r="RAC1365" s="76"/>
      <c r="RAD1365" s="76"/>
      <c r="RAE1365" s="76"/>
      <c r="RAF1365" s="76"/>
      <c r="RAG1365" s="76"/>
      <c r="RAH1365" s="76"/>
      <c r="RAI1365" s="76"/>
      <c r="RAJ1365" s="76"/>
      <c r="RAK1365" s="76"/>
      <c r="RAL1365" s="76"/>
      <c r="RAM1365" s="76"/>
      <c r="RAN1365" s="76"/>
      <c r="RAO1365" s="76"/>
      <c r="RAP1365" s="76"/>
      <c r="RAQ1365" s="76"/>
      <c r="RAR1365" s="76"/>
      <c r="RAS1365" s="76"/>
      <c r="RAT1365" s="76"/>
      <c r="RAU1365" s="76"/>
      <c r="RAV1365" s="76"/>
      <c r="RAW1365" s="76"/>
      <c r="RAX1365" s="76"/>
      <c r="RAY1365" s="76"/>
      <c r="RAZ1365" s="76"/>
      <c r="RBA1365" s="76"/>
      <c r="RBB1365" s="76"/>
      <c r="RBC1365" s="76"/>
      <c r="RBD1365" s="76"/>
      <c r="RBE1365" s="76"/>
      <c r="RBF1365" s="76"/>
      <c r="RBG1365" s="76"/>
      <c r="RBH1365" s="76"/>
      <c r="RBI1365" s="76"/>
      <c r="RBJ1365" s="76"/>
      <c r="RBK1365" s="76"/>
      <c r="RBL1365" s="76"/>
      <c r="RBM1365" s="76"/>
      <c r="RBN1365" s="76"/>
      <c r="RBO1365" s="76"/>
      <c r="RBP1365" s="76"/>
      <c r="RBQ1365" s="76"/>
      <c r="RBR1365" s="76"/>
      <c r="RBS1365" s="76"/>
      <c r="RBT1365" s="76"/>
      <c r="RBU1365" s="76"/>
      <c r="RBV1365" s="76"/>
      <c r="RBW1365" s="76"/>
      <c r="RBX1365" s="76"/>
      <c r="RBY1365" s="76"/>
      <c r="RBZ1365" s="76"/>
      <c r="RCA1365" s="76"/>
      <c r="RCB1365" s="76"/>
      <c r="RCC1365" s="76"/>
      <c r="RCD1365" s="76"/>
      <c r="RCE1365" s="76"/>
      <c r="RCF1365" s="76"/>
      <c r="RCG1365" s="76"/>
      <c r="RCH1365" s="76"/>
      <c r="RCI1365" s="76"/>
      <c r="RCJ1365" s="76"/>
      <c r="RCK1365" s="76"/>
      <c r="RCL1365" s="76"/>
      <c r="RCM1365" s="76"/>
      <c r="RCN1365" s="76"/>
      <c r="RCO1365" s="76"/>
      <c r="RCP1365" s="76"/>
      <c r="RCQ1365" s="76"/>
      <c r="RCR1365" s="76"/>
      <c r="RCS1365" s="76"/>
      <c r="RCT1365" s="76"/>
      <c r="RCU1365" s="76"/>
      <c r="RCV1365" s="76"/>
      <c r="RCW1365" s="76"/>
      <c r="RCX1365" s="76"/>
      <c r="RCY1365" s="76"/>
      <c r="RCZ1365" s="76"/>
      <c r="RDA1365" s="76"/>
      <c r="RDB1365" s="76"/>
      <c r="RDC1365" s="76"/>
      <c r="RDD1365" s="76"/>
      <c r="RDE1365" s="76"/>
      <c r="RDF1365" s="76"/>
      <c r="RDG1365" s="76"/>
      <c r="RDH1365" s="76"/>
      <c r="RDI1365" s="76"/>
      <c r="RDJ1365" s="76"/>
      <c r="RDK1365" s="76"/>
      <c r="RDL1365" s="76"/>
      <c r="RDM1365" s="76"/>
      <c r="RDN1365" s="76"/>
      <c r="RDO1365" s="76"/>
      <c r="RDP1365" s="76"/>
      <c r="RDQ1365" s="76"/>
      <c r="RDR1365" s="76"/>
      <c r="RDS1365" s="76"/>
      <c r="RDT1365" s="76"/>
      <c r="RDU1365" s="50"/>
      <c r="RDV1365" s="76"/>
      <c r="RDW1365" s="76"/>
      <c r="RDX1365" s="76"/>
      <c r="RDY1365" s="76"/>
      <c r="RDZ1365" s="76"/>
      <c r="REA1365" s="76"/>
      <c r="REB1365" s="76"/>
      <c r="REC1365" s="76"/>
      <c r="RED1365" s="76"/>
      <c r="REE1365" s="76"/>
      <c r="REF1365" s="76"/>
      <c r="REG1365" s="76"/>
      <c r="REH1365" s="76"/>
      <c r="REI1365" s="76"/>
      <c r="REJ1365" s="76"/>
      <c r="REK1365" s="76"/>
      <c r="REL1365" s="76"/>
      <c r="REM1365" s="76"/>
      <c r="REN1365" s="76"/>
      <c r="REO1365" s="76"/>
      <c r="REP1365" s="76"/>
      <c r="REQ1365" s="76"/>
      <c r="RER1365" s="76"/>
      <c r="RES1365" s="76"/>
      <c r="RET1365" s="76"/>
      <c r="REU1365" s="76"/>
      <c r="REV1365" s="76"/>
      <c r="REW1365" s="76"/>
      <c r="REX1365" s="76"/>
      <c r="REY1365" s="76"/>
      <c r="REZ1365" s="76"/>
      <c r="RFA1365" s="76"/>
      <c r="RFB1365" s="76"/>
      <c r="RFC1365" s="76"/>
      <c r="RFD1365" s="76"/>
      <c r="RFE1365" s="76"/>
      <c r="RFF1365" s="76"/>
      <c r="RFG1365" s="76"/>
      <c r="RFH1365" s="76"/>
      <c r="RFI1365" s="76"/>
      <c r="RFJ1365" s="76"/>
      <c r="RFK1365" s="76"/>
      <c r="RFL1365" s="76"/>
      <c r="RFM1365" s="76"/>
      <c r="RFN1365" s="76"/>
      <c r="RFO1365" s="76"/>
      <c r="RFP1365" s="76"/>
      <c r="RFQ1365" s="76"/>
      <c r="RFR1365" s="76"/>
      <c r="RFS1365" s="76"/>
      <c r="RFT1365" s="76"/>
      <c r="RFU1365" s="76"/>
      <c r="RFV1365" s="76"/>
      <c r="RFW1365" s="76"/>
      <c r="RFX1365" s="76"/>
      <c r="RFY1365" s="76"/>
      <c r="RFZ1365" s="76"/>
      <c r="RGA1365" s="76"/>
      <c r="RGB1365" s="76"/>
      <c r="RGC1365" s="76"/>
      <c r="RGD1365" s="76"/>
      <c r="RGE1365" s="76"/>
      <c r="RGF1365" s="76"/>
      <c r="RGG1365" s="76"/>
      <c r="RGH1365" s="76"/>
      <c r="RGI1365" s="76"/>
      <c r="RGJ1365" s="76"/>
      <c r="RGK1365" s="76"/>
      <c r="RGL1365" s="76"/>
      <c r="RGM1365" s="76"/>
      <c r="RGN1365" s="76"/>
      <c r="RGO1365" s="76"/>
      <c r="RGP1365" s="76"/>
      <c r="RGQ1365" s="76"/>
      <c r="RGR1365" s="76"/>
      <c r="RGS1365" s="76"/>
      <c r="RGT1365" s="76"/>
      <c r="RGU1365" s="76"/>
      <c r="RGV1365" s="76"/>
      <c r="RGW1365" s="76"/>
      <c r="RGX1365" s="76"/>
      <c r="RGY1365" s="76"/>
      <c r="RGZ1365" s="76"/>
      <c r="RHA1365" s="76"/>
      <c r="RHB1365" s="76"/>
      <c r="RHC1365" s="76"/>
      <c r="RHD1365" s="76"/>
      <c r="RHE1365" s="76"/>
      <c r="RHF1365" s="76"/>
      <c r="RHG1365" s="76"/>
      <c r="RHH1365" s="76"/>
      <c r="RHI1365" s="76"/>
      <c r="RHJ1365" s="76"/>
      <c r="RHK1365" s="76"/>
      <c r="RHL1365" s="76"/>
      <c r="RHM1365" s="76"/>
      <c r="RHN1365" s="76"/>
      <c r="RHO1365" s="76"/>
      <c r="RHP1365" s="76"/>
      <c r="RHQ1365" s="76"/>
      <c r="RHR1365" s="76"/>
      <c r="RHS1365" s="76"/>
      <c r="RHT1365" s="76"/>
      <c r="RHU1365" s="76"/>
      <c r="RHV1365" s="76"/>
      <c r="RHW1365" s="76"/>
      <c r="RHX1365" s="76"/>
      <c r="RHY1365" s="76"/>
      <c r="RHZ1365" s="76"/>
      <c r="RIA1365" s="76"/>
      <c r="RIB1365" s="76"/>
      <c r="RIC1365" s="76"/>
      <c r="RID1365" s="76"/>
      <c r="RIE1365" s="76"/>
      <c r="RIF1365" s="76"/>
      <c r="RIG1365" s="76"/>
      <c r="RIH1365" s="76"/>
      <c r="RII1365" s="76"/>
      <c r="RIJ1365" s="76"/>
      <c r="RIK1365" s="76"/>
      <c r="RIL1365" s="76"/>
      <c r="RIM1365" s="76"/>
      <c r="RIN1365" s="76"/>
      <c r="RIO1365" s="76"/>
      <c r="RIP1365" s="76"/>
      <c r="RIQ1365" s="76"/>
      <c r="RIR1365" s="76"/>
      <c r="RIS1365" s="76"/>
      <c r="RIT1365" s="76"/>
      <c r="RIU1365" s="76"/>
      <c r="RIV1365" s="76"/>
      <c r="RIW1365" s="76"/>
      <c r="RIX1365" s="76"/>
      <c r="RIY1365" s="76"/>
      <c r="RIZ1365" s="76"/>
      <c r="RJA1365" s="76"/>
      <c r="RJB1365" s="76"/>
      <c r="RJC1365" s="76"/>
      <c r="RJD1365" s="76"/>
      <c r="RJE1365" s="76"/>
      <c r="RJF1365" s="76"/>
      <c r="RJG1365" s="76"/>
      <c r="RJH1365" s="76"/>
      <c r="RJI1365" s="76"/>
      <c r="RJJ1365" s="76"/>
      <c r="RJK1365" s="76"/>
      <c r="RJL1365" s="76"/>
      <c r="RJM1365" s="76"/>
      <c r="RJN1365" s="76"/>
      <c r="RJO1365" s="76"/>
      <c r="RJP1365" s="76"/>
      <c r="RJQ1365" s="76"/>
      <c r="RJR1365" s="76"/>
      <c r="RJS1365" s="76"/>
      <c r="RJT1365" s="76"/>
      <c r="RJU1365" s="76"/>
      <c r="RJV1365" s="76"/>
      <c r="RJW1365" s="76"/>
      <c r="RJX1365" s="76"/>
      <c r="RJY1365" s="76"/>
      <c r="RJZ1365" s="76"/>
      <c r="RKA1365" s="76"/>
      <c r="RKB1365" s="76"/>
      <c r="RKC1365" s="76"/>
      <c r="RKD1365" s="76"/>
      <c r="RKE1365" s="76"/>
      <c r="RKF1365" s="76"/>
      <c r="RKG1365" s="76"/>
      <c r="RKH1365" s="76"/>
      <c r="RKI1365" s="76"/>
      <c r="RKJ1365" s="76"/>
      <c r="RKK1365" s="76"/>
      <c r="RKL1365" s="76"/>
      <c r="RKM1365" s="76"/>
      <c r="RKN1365" s="76"/>
      <c r="RKO1365" s="76"/>
      <c r="RKP1365" s="76"/>
      <c r="RKQ1365" s="76"/>
      <c r="RKR1365" s="76"/>
      <c r="RKS1365" s="76"/>
      <c r="RKT1365" s="76"/>
      <c r="RKU1365" s="76"/>
      <c r="RKV1365" s="76"/>
      <c r="RKW1365" s="76"/>
      <c r="RKX1365" s="76"/>
      <c r="RKY1365" s="76"/>
      <c r="RKZ1365" s="76"/>
      <c r="RLA1365" s="76"/>
      <c r="RLB1365" s="76"/>
      <c r="RLC1365" s="76"/>
      <c r="RLD1365" s="76"/>
      <c r="RLE1365" s="76"/>
      <c r="RLF1365" s="76"/>
      <c r="RLG1365" s="76"/>
      <c r="RLH1365" s="76"/>
      <c r="RLI1365" s="76"/>
      <c r="RLJ1365" s="76"/>
      <c r="RLK1365" s="76"/>
      <c r="RLL1365" s="76"/>
      <c r="RLM1365" s="76"/>
      <c r="RLN1365" s="76"/>
      <c r="RLO1365" s="76"/>
      <c r="RLP1365" s="76"/>
      <c r="RLQ1365" s="76"/>
      <c r="RLR1365" s="76"/>
      <c r="RLS1365" s="76"/>
      <c r="RLT1365" s="76"/>
      <c r="RLU1365" s="76"/>
      <c r="RLV1365" s="76"/>
      <c r="RLW1365" s="76"/>
      <c r="RLX1365" s="76"/>
      <c r="RLY1365" s="76"/>
      <c r="RLZ1365" s="76"/>
      <c r="RMA1365" s="76"/>
      <c r="RMB1365" s="76"/>
      <c r="RMC1365" s="76"/>
      <c r="RMD1365" s="76"/>
      <c r="RME1365" s="76"/>
      <c r="RMF1365" s="76"/>
      <c r="RMG1365" s="76"/>
      <c r="RMH1365" s="76"/>
      <c r="RMI1365" s="76"/>
      <c r="RMJ1365" s="76"/>
      <c r="RMK1365" s="76"/>
      <c r="RML1365" s="76"/>
      <c r="RMM1365" s="76"/>
      <c r="RMN1365" s="76"/>
      <c r="RMO1365" s="76"/>
      <c r="RMP1365" s="76"/>
      <c r="RMQ1365" s="76"/>
      <c r="RMR1365" s="76"/>
      <c r="RMS1365" s="76"/>
      <c r="RMT1365" s="76"/>
      <c r="RMU1365" s="76"/>
      <c r="RMV1365" s="76"/>
      <c r="RMW1365" s="76"/>
      <c r="RMX1365" s="76"/>
      <c r="RMY1365" s="76"/>
      <c r="RMZ1365" s="76"/>
      <c r="RNA1365" s="76"/>
      <c r="RNB1365" s="76"/>
      <c r="RNC1365" s="76"/>
      <c r="RND1365" s="76"/>
      <c r="RNE1365" s="76"/>
      <c r="RNF1365" s="76"/>
      <c r="RNG1365" s="76"/>
      <c r="RNH1365" s="76"/>
      <c r="RNI1365" s="76"/>
      <c r="RNJ1365" s="76"/>
      <c r="RNK1365" s="76"/>
      <c r="RNL1365" s="76"/>
      <c r="RNM1365" s="76"/>
      <c r="RNN1365" s="76"/>
      <c r="RNO1365" s="76"/>
      <c r="RNP1365" s="76"/>
      <c r="RNQ1365" s="50"/>
      <c r="RNR1365" s="76"/>
      <c r="RNS1365" s="76"/>
      <c r="RNT1365" s="76"/>
      <c r="RNU1365" s="76"/>
      <c r="RNV1365" s="76"/>
      <c r="RNW1365" s="76"/>
      <c r="RNX1365" s="76"/>
      <c r="RNY1365" s="76"/>
      <c r="RNZ1365" s="76"/>
      <c r="ROA1365" s="76"/>
      <c r="ROB1365" s="76"/>
      <c r="ROC1365" s="76"/>
      <c r="ROD1365" s="76"/>
      <c r="ROE1365" s="76"/>
      <c r="ROF1365" s="76"/>
      <c r="ROG1365" s="76"/>
      <c r="ROH1365" s="76"/>
      <c r="ROI1365" s="76"/>
      <c r="ROJ1365" s="76"/>
      <c r="ROK1365" s="76"/>
      <c r="ROL1365" s="76"/>
      <c r="ROM1365" s="76"/>
      <c r="RON1365" s="76"/>
      <c r="ROO1365" s="76"/>
      <c r="ROP1365" s="76"/>
      <c r="ROQ1365" s="76"/>
      <c r="ROR1365" s="76"/>
      <c r="ROS1365" s="76"/>
      <c r="ROT1365" s="76"/>
      <c r="ROU1365" s="76"/>
      <c r="ROV1365" s="76"/>
      <c r="ROW1365" s="76"/>
      <c r="ROX1365" s="76"/>
      <c r="ROY1365" s="76"/>
      <c r="ROZ1365" s="76"/>
      <c r="RPA1365" s="76"/>
      <c r="RPB1365" s="76"/>
      <c r="RPC1365" s="76"/>
      <c r="RPD1365" s="76"/>
      <c r="RPE1365" s="76"/>
      <c r="RPF1365" s="76"/>
      <c r="RPG1365" s="76"/>
      <c r="RPH1365" s="76"/>
      <c r="RPI1365" s="76"/>
      <c r="RPJ1365" s="76"/>
      <c r="RPK1365" s="76"/>
      <c r="RPL1365" s="76"/>
      <c r="RPM1365" s="76"/>
      <c r="RPN1365" s="76"/>
      <c r="RPO1365" s="76"/>
      <c r="RPP1365" s="76"/>
      <c r="RPQ1365" s="76"/>
      <c r="RPR1365" s="76"/>
      <c r="RPS1365" s="76"/>
      <c r="RPT1365" s="76"/>
      <c r="RPU1365" s="76"/>
      <c r="RPV1365" s="76"/>
      <c r="RPW1365" s="76"/>
      <c r="RPX1365" s="76"/>
      <c r="RPY1365" s="76"/>
      <c r="RPZ1365" s="76"/>
      <c r="RQA1365" s="76"/>
      <c r="RQB1365" s="76"/>
      <c r="RQC1365" s="76"/>
      <c r="RQD1365" s="76"/>
      <c r="RQE1365" s="76"/>
      <c r="RQF1365" s="76"/>
      <c r="RQG1365" s="76"/>
      <c r="RQH1365" s="76"/>
      <c r="RQI1365" s="76"/>
      <c r="RQJ1365" s="76"/>
      <c r="RQK1365" s="76"/>
      <c r="RQL1365" s="76"/>
      <c r="RQM1365" s="76"/>
      <c r="RQN1365" s="76"/>
      <c r="RQO1365" s="76"/>
      <c r="RQP1365" s="76"/>
      <c r="RQQ1365" s="76"/>
      <c r="RQR1365" s="76"/>
      <c r="RQS1365" s="76"/>
      <c r="RQT1365" s="76"/>
      <c r="RQU1365" s="76"/>
      <c r="RQV1365" s="76"/>
      <c r="RQW1365" s="76"/>
      <c r="RQX1365" s="76"/>
      <c r="RQY1365" s="76"/>
      <c r="RQZ1365" s="76"/>
      <c r="RRA1365" s="76"/>
      <c r="RRB1365" s="76"/>
      <c r="RRC1365" s="76"/>
      <c r="RRD1365" s="76"/>
      <c r="RRE1365" s="76"/>
      <c r="RRF1365" s="76"/>
      <c r="RRG1365" s="76"/>
      <c r="RRH1365" s="76"/>
      <c r="RRI1365" s="76"/>
      <c r="RRJ1365" s="76"/>
      <c r="RRK1365" s="76"/>
      <c r="RRL1365" s="76"/>
      <c r="RRM1365" s="76"/>
      <c r="RRN1365" s="76"/>
      <c r="RRO1365" s="76"/>
      <c r="RRP1365" s="76"/>
      <c r="RRQ1365" s="76"/>
      <c r="RRR1365" s="76"/>
      <c r="RRS1365" s="76"/>
      <c r="RRT1365" s="76"/>
      <c r="RRU1365" s="76"/>
      <c r="RRV1365" s="76"/>
      <c r="RRW1365" s="76"/>
      <c r="RRX1365" s="76"/>
      <c r="RRY1365" s="76"/>
      <c r="RRZ1365" s="76"/>
      <c r="RSA1365" s="76"/>
      <c r="RSB1365" s="76"/>
      <c r="RSC1365" s="76"/>
      <c r="RSD1365" s="76"/>
      <c r="RSE1365" s="76"/>
      <c r="RSF1365" s="76"/>
      <c r="RSG1365" s="76"/>
      <c r="RSH1365" s="76"/>
      <c r="RSI1365" s="76"/>
      <c r="RSJ1365" s="76"/>
      <c r="RSK1365" s="76"/>
      <c r="RSL1365" s="76"/>
      <c r="RSM1365" s="76"/>
      <c r="RSN1365" s="76"/>
      <c r="RSO1365" s="76"/>
      <c r="RSP1365" s="76"/>
      <c r="RSQ1365" s="76"/>
      <c r="RSR1365" s="76"/>
      <c r="RSS1365" s="76"/>
      <c r="RST1365" s="76"/>
      <c r="RSU1365" s="76"/>
      <c r="RSV1365" s="76"/>
      <c r="RSW1365" s="76"/>
      <c r="RSX1365" s="76"/>
      <c r="RSY1365" s="76"/>
      <c r="RSZ1365" s="76"/>
      <c r="RTA1365" s="76"/>
      <c r="RTB1365" s="76"/>
      <c r="RTC1365" s="76"/>
      <c r="RTD1365" s="76"/>
      <c r="RTE1365" s="76"/>
      <c r="RTF1365" s="76"/>
      <c r="RTG1365" s="76"/>
      <c r="RTH1365" s="76"/>
      <c r="RTI1365" s="76"/>
      <c r="RTJ1365" s="76"/>
      <c r="RTK1365" s="76"/>
      <c r="RTL1365" s="76"/>
      <c r="RTM1365" s="76"/>
      <c r="RTN1365" s="76"/>
      <c r="RTO1365" s="76"/>
      <c r="RTP1365" s="76"/>
      <c r="RTQ1365" s="76"/>
      <c r="RTR1365" s="76"/>
      <c r="RTS1365" s="76"/>
      <c r="RTT1365" s="76"/>
      <c r="RTU1365" s="76"/>
      <c r="RTV1365" s="76"/>
      <c r="RTW1365" s="76"/>
      <c r="RTX1365" s="76"/>
      <c r="RTY1365" s="76"/>
      <c r="RTZ1365" s="76"/>
      <c r="RUA1365" s="76"/>
      <c r="RUB1365" s="76"/>
      <c r="RUC1365" s="76"/>
      <c r="RUD1365" s="76"/>
      <c r="RUE1365" s="76"/>
      <c r="RUF1365" s="76"/>
      <c r="RUG1365" s="76"/>
      <c r="RUH1365" s="76"/>
      <c r="RUI1365" s="76"/>
      <c r="RUJ1365" s="76"/>
      <c r="RUK1365" s="76"/>
      <c r="RUL1365" s="76"/>
      <c r="RUM1365" s="76"/>
      <c r="RUN1365" s="76"/>
      <c r="RUO1365" s="76"/>
      <c r="RUP1365" s="76"/>
      <c r="RUQ1365" s="76"/>
      <c r="RUR1365" s="76"/>
      <c r="RUS1365" s="76"/>
      <c r="RUT1365" s="76"/>
      <c r="RUU1365" s="76"/>
      <c r="RUV1365" s="76"/>
      <c r="RUW1365" s="76"/>
      <c r="RUX1365" s="76"/>
      <c r="RUY1365" s="76"/>
      <c r="RUZ1365" s="76"/>
      <c r="RVA1365" s="76"/>
      <c r="RVB1365" s="76"/>
      <c r="RVC1365" s="76"/>
      <c r="RVD1365" s="76"/>
      <c r="RVE1365" s="76"/>
      <c r="RVF1365" s="76"/>
      <c r="RVG1365" s="76"/>
      <c r="RVH1365" s="76"/>
      <c r="RVI1365" s="76"/>
      <c r="RVJ1365" s="76"/>
      <c r="RVK1365" s="76"/>
      <c r="RVL1365" s="76"/>
      <c r="RVM1365" s="76"/>
      <c r="RVN1365" s="76"/>
      <c r="RVO1365" s="76"/>
      <c r="RVP1365" s="76"/>
      <c r="RVQ1365" s="76"/>
      <c r="RVR1365" s="76"/>
      <c r="RVS1365" s="76"/>
      <c r="RVT1365" s="76"/>
      <c r="RVU1365" s="76"/>
      <c r="RVV1365" s="76"/>
      <c r="RVW1365" s="76"/>
      <c r="RVX1365" s="76"/>
      <c r="RVY1365" s="76"/>
      <c r="RVZ1365" s="76"/>
      <c r="RWA1365" s="76"/>
      <c r="RWB1365" s="76"/>
      <c r="RWC1365" s="76"/>
      <c r="RWD1365" s="76"/>
      <c r="RWE1365" s="76"/>
      <c r="RWF1365" s="76"/>
      <c r="RWG1365" s="76"/>
      <c r="RWH1365" s="76"/>
      <c r="RWI1365" s="76"/>
      <c r="RWJ1365" s="76"/>
      <c r="RWK1365" s="76"/>
      <c r="RWL1365" s="76"/>
      <c r="RWM1365" s="76"/>
      <c r="RWN1365" s="76"/>
      <c r="RWO1365" s="76"/>
      <c r="RWP1365" s="76"/>
      <c r="RWQ1365" s="76"/>
      <c r="RWR1365" s="76"/>
      <c r="RWS1365" s="76"/>
      <c r="RWT1365" s="76"/>
      <c r="RWU1365" s="76"/>
      <c r="RWV1365" s="76"/>
      <c r="RWW1365" s="76"/>
      <c r="RWX1365" s="76"/>
      <c r="RWY1365" s="76"/>
      <c r="RWZ1365" s="76"/>
      <c r="RXA1365" s="76"/>
      <c r="RXB1365" s="76"/>
      <c r="RXC1365" s="76"/>
      <c r="RXD1365" s="76"/>
      <c r="RXE1365" s="76"/>
      <c r="RXF1365" s="76"/>
      <c r="RXG1365" s="76"/>
      <c r="RXH1365" s="76"/>
      <c r="RXI1365" s="76"/>
      <c r="RXJ1365" s="76"/>
      <c r="RXK1365" s="76"/>
      <c r="RXL1365" s="76"/>
      <c r="RXM1365" s="50"/>
      <c r="RXN1365" s="76"/>
      <c r="RXO1365" s="76"/>
      <c r="RXP1365" s="76"/>
      <c r="RXQ1365" s="76"/>
      <c r="RXR1365" s="76"/>
      <c r="RXS1365" s="76"/>
      <c r="RXT1365" s="76"/>
      <c r="RXU1365" s="76"/>
      <c r="RXV1365" s="76"/>
      <c r="RXW1365" s="76"/>
      <c r="RXX1365" s="76"/>
      <c r="RXY1365" s="76"/>
      <c r="RXZ1365" s="76"/>
      <c r="RYA1365" s="76"/>
      <c r="RYB1365" s="76"/>
      <c r="RYC1365" s="76"/>
      <c r="RYD1365" s="76"/>
      <c r="RYE1365" s="76"/>
      <c r="RYF1365" s="76"/>
      <c r="RYG1365" s="76"/>
      <c r="RYH1365" s="76"/>
      <c r="RYI1365" s="76"/>
      <c r="RYJ1365" s="76"/>
      <c r="RYK1365" s="76"/>
      <c r="RYL1365" s="76"/>
      <c r="RYM1365" s="76"/>
      <c r="RYN1365" s="76"/>
      <c r="RYO1365" s="76"/>
      <c r="RYP1365" s="76"/>
      <c r="RYQ1365" s="76"/>
      <c r="RYR1365" s="76"/>
      <c r="RYS1365" s="76"/>
      <c r="RYT1365" s="76"/>
      <c r="RYU1365" s="76"/>
      <c r="RYV1365" s="76"/>
      <c r="RYW1365" s="76"/>
      <c r="RYX1365" s="76"/>
      <c r="RYY1365" s="76"/>
      <c r="RYZ1365" s="76"/>
      <c r="RZA1365" s="76"/>
      <c r="RZB1365" s="76"/>
      <c r="RZC1365" s="76"/>
      <c r="RZD1365" s="76"/>
      <c r="RZE1365" s="76"/>
      <c r="RZF1365" s="76"/>
      <c r="RZG1365" s="76"/>
      <c r="RZH1365" s="76"/>
      <c r="RZI1365" s="76"/>
      <c r="RZJ1365" s="76"/>
      <c r="RZK1365" s="76"/>
      <c r="RZL1365" s="76"/>
      <c r="RZM1365" s="76"/>
      <c r="RZN1365" s="76"/>
      <c r="RZO1365" s="76"/>
      <c r="RZP1365" s="76"/>
      <c r="RZQ1365" s="76"/>
      <c r="RZR1365" s="76"/>
      <c r="RZS1365" s="76"/>
      <c r="RZT1365" s="76"/>
      <c r="RZU1365" s="76"/>
      <c r="RZV1365" s="76"/>
      <c r="RZW1365" s="76"/>
      <c r="RZX1365" s="76"/>
      <c r="RZY1365" s="76"/>
      <c r="RZZ1365" s="76"/>
      <c r="SAA1365" s="76"/>
      <c r="SAB1365" s="76"/>
      <c r="SAC1365" s="76"/>
      <c r="SAD1365" s="76"/>
      <c r="SAE1365" s="76"/>
      <c r="SAF1365" s="76"/>
      <c r="SAG1365" s="76"/>
      <c r="SAH1365" s="76"/>
      <c r="SAI1365" s="76"/>
      <c r="SAJ1365" s="76"/>
      <c r="SAK1365" s="76"/>
      <c r="SAL1365" s="76"/>
      <c r="SAM1365" s="76"/>
      <c r="SAN1365" s="76"/>
      <c r="SAO1365" s="76"/>
      <c r="SAP1365" s="76"/>
      <c r="SAQ1365" s="76"/>
      <c r="SAR1365" s="76"/>
      <c r="SAS1365" s="76"/>
      <c r="SAT1365" s="76"/>
      <c r="SAU1365" s="76"/>
      <c r="SAV1365" s="76"/>
      <c r="SAW1365" s="76"/>
      <c r="SAX1365" s="76"/>
      <c r="SAY1365" s="76"/>
      <c r="SAZ1365" s="76"/>
      <c r="SBA1365" s="76"/>
      <c r="SBB1365" s="76"/>
      <c r="SBC1365" s="76"/>
      <c r="SBD1365" s="76"/>
      <c r="SBE1365" s="76"/>
      <c r="SBF1365" s="76"/>
      <c r="SBG1365" s="76"/>
      <c r="SBH1365" s="76"/>
      <c r="SBI1365" s="76"/>
      <c r="SBJ1365" s="76"/>
      <c r="SBK1365" s="76"/>
      <c r="SBL1365" s="76"/>
      <c r="SBM1365" s="76"/>
      <c r="SBN1365" s="76"/>
      <c r="SBO1365" s="76"/>
      <c r="SBP1365" s="76"/>
      <c r="SBQ1365" s="76"/>
      <c r="SBR1365" s="76"/>
      <c r="SBS1365" s="76"/>
      <c r="SBT1365" s="76"/>
      <c r="SBU1365" s="76"/>
      <c r="SBV1365" s="76"/>
      <c r="SBW1365" s="76"/>
      <c r="SBX1365" s="76"/>
      <c r="SBY1365" s="76"/>
      <c r="SBZ1365" s="76"/>
      <c r="SCA1365" s="76"/>
      <c r="SCB1365" s="76"/>
      <c r="SCC1365" s="76"/>
      <c r="SCD1365" s="76"/>
      <c r="SCE1365" s="76"/>
      <c r="SCF1365" s="76"/>
      <c r="SCG1365" s="76"/>
      <c r="SCH1365" s="76"/>
      <c r="SCI1365" s="76"/>
      <c r="SCJ1365" s="76"/>
      <c r="SCK1365" s="76"/>
      <c r="SCL1365" s="76"/>
      <c r="SCM1365" s="76"/>
      <c r="SCN1365" s="76"/>
      <c r="SCO1365" s="76"/>
      <c r="SCP1365" s="76"/>
      <c r="SCQ1365" s="76"/>
      <c r="SCR1365" s="76"/>
      <c r="SCS1365" s="76"/>
      <c r="SCT1365" s="76"/>
      <c r="SCU1365" s="76"/>
      <c r="SCV1365" s="76"/>
      <c r="SCW1365" s="76"/>
      <c r="SCX1365" s="76"/>
      <c r="SCY1365" s="76"/>
      <c r="SCZ1365" s="76"/>
      <c r="SDA1365" s="76"/>
      <c r="SDB1365" s="76"/>
      <c r="SDC1365" s="76"/>
      <c r="SDD1365" s="76"/>
      <c r="SDE1365" s="76"/>
      <c r="SDF1365" s="76"/>
      <c r="SDG1365" s="76"/>
      <c r="SDH1365" s="76"/>
      <c r="SDI1365" s="76"/>
      <c r="SDJ1365" s="76"/>
      <c r="SDK1365" s="76"/>
      <c r="SDL1365" s="76"/>
      <c r="SDM1365" s="76"/>
      <c r="SDN1365" s="76"/>
      <c r="SDO1365" s="76"/>
      <c r="SDP1365" s="76"/>
      <c r="SDQ1365" s="76"/>
      <c r="SDR1365" s="76"/>
      <c r="SDS1365" s="76"/>
      <c r="SDT1365" s="76"/>
      <c r="SDU1365" s="76"/>
      <c r="SDV1365" s="76"/>
      <c r="SDW1365" s="76"/>
      <c r="SDX1365" s="76"/>
      <c r="SDY1365" s="76"/>
      <c r="SDZ1365" s="76"/>
      <c r="SEA1365" s="76"/>
      <c r="SEB1365" s="76"/>
      <c r="SEC1365" s="76"/>
      <c r="SED1365" s="76"/>
      <c r="SEE1365" s="76"/>
      <c r="SEF1365" s="76"/>
      <c r="SEG1365" s="76"/>
      <c r="SEH1365" s="76"/>
      <c r="SEI1365" s="76"/>
      <c r="SEJ1365" s="76"/>
      <c r="SEK1365" s="76"/>
      <c r="SEL1365" s="76"/>
      <c r="SEM1365" s="76"/>
      <c r="SEN1365" s="76"/>
      <c r="SEO1365" s="76"/>
      <c r="SEP1365" s="76"/>
      <c r="SEQ1365" s="76"/>
      <c r="SER1365" s="76"/>
      <c r="SES1365" s="76"/>
      <c r="SET1365" s="76"/>
      <c r="SEU1365" s="76"/>
      <c r="SEV1365" s="76"/>
      <c r="SEW1365" s="76"/>
      <c r="SEX1365" s="76"/>
      <c r="SEY1365" s="76"/>
      <c r="SEZ1365" s="76"/>
      <c r="SFA1365" s="76"/>
      <c r="SFB1365" s="76"/>
      <c r="SFC1365" s="76"/>
      <c r="SFD1365" s="76"/>
      <c r="SFE1365" s="76"/>
      <c r="SFF1365" s="76"/>
      <c r="SFG1365" s="76"/>
      <c r="SFH1365" s="76"/>
      <c r="SFI1365" s="76"/>
      <c r="SFJ1365" s="76"/>
      <c r="SFK1365" s="76"/>
      <c r="SFL1365" s="76"/>
      <c r="SFM1365" s="76"/>
      <c r="SFN1365" s="76"/>
      <c r="SFO1365" s="76"/>
      <c r="SFP1365" s="76"/>
      <c r="SFQ1365" s="76"/>
      <c r="SFR1365" s="76"/>
      <c r="SFS1365" s="76"/>
      <c r="SFT1365" s="76"/>
      <c r="SFU1365" s="76"/>
      <c r="SFV1365" s="76"/>
      <c r="SFW1365" s="76"/>
      <c r="SFX1365" s="76"/>
      <c r="SFY1365" s="76"/>
      <c r="SFZ1365" s="76"/>
      <c r="SGA1365" s="76"/>
      <c r="SGB1365" s="76"/>
      <c r="SGC1365" s="76"/>
      <c r="SGD1365" s="76"/>
      <c r="SGE1365" s="76"/>
      <c r="SGF1365" s="76"/>
      <c r="SGG1365" s="76"/>
      <c r="SGH1365" s="76"/>
      <c r="SGI1365" s="76"/>
      <c r="SGJ1365" s="76"/>
      <c r="SGK1365" s="76"/>
      <c r="SGL1365" s="76"/>
      <c r="SGM1365" s="76"/>
      <c r="SGN1365" s="76"/>
      <c r="SGO1365" s="76"/>
      <c r="SGP1365" s="76"/>
      <c r="SGQ1365" s="76"/>
      <c r="SGR1365" s="76"/>
      <c r="SGS1365" s="76"/>
      <c r="SGT1365" s="76"/>
      <c r="SGU1365" s="76"/>
      <c r="SGV1365" s="76"/>
      <c r="SGW1365" s="76"/>
      <c r="SGX1365" s="76"/>
      <c r="SGY1365" s="76"/>
      <c r="SGZ1365" s="76"/>
      <c r="SHA1365" s="76"/>
      <c r="SHB1365" s="76"/>
      <c r="SHC1365" s="76"/>
      <c r="SHD1365" s="76"/>
      <c r="SHE1365" s="76"/>
      <c r="SHF1365" s="76"/>
      <c r="SHG1365" s="76"/>
      <c r="SHH1365" s="76"/>
      <c r="SHI1365" s="50"/>
      <c r="SHJ1365" s="76"/>
      <c r="SHK1365" s="76"/>
      <c r="SHL1365" s="76"/>
      <c r="SHM1365" s="76"/>
      <c r="SHN1365" s="76"/>
      <c r="SHO1365" s="76"/>
      <c r="SHP1365" s="76"/>
      <c r="SHQ1365" s="76"/>
      <c r="SHR1365" s="76"/>
      <c r="SHS1365" s="76"/>
      <c r="SHT1365" s="76"/>
      <c r="SHU1365" s="76"/>
      <c r="SHV1365" s="76"/>
      <c r="SHW1365" s="76"/>
      <c r="SHX1365" s="76"/>
      <c r="SHY1365" s="76"/>
      <c r="SHZ1365" s="76"/>
      <c r="SIA1365" s="76"/>
      <c r="SIB1365" s="76"/>
      <c r="SIC1365" s="76"/>
      <c r="SID1365" s="76"/>
      <c r="SIE1365" s="76"/>
      <c r="SIF1365" s="76"/>
      <c r="SIG1365" s="76"/>
      <c r="SIH1365" s="76"/>
      <c r="SII1365" s="76"/>
      <c r="SIJ1365" s="76"/>
      <c r="SIK1365" s="76"/>
      <c r="SIL1365" s="76"/>
      <c r="SIM1365" s="76"/>
      <c r="SIN1365" s="76"/>
      <c r="SIO1365" s="76"/>
      <c r="SIP1365" s="76"/>
      <c r="SIQ1365" s="76"/>
      <c r="SIR1365" s="76"/>
      <c r="SIS1365" s="76"/>
      <c r="SIT1365" s="76"/>
      <c r="SIU1365" s="76"/>
      <c r="SIV1365" s="76"/>
      <c r="SIW1365" s="76"/>
      <c r="SIX1365" s="76"/>
      <c r="SIY1365" s="76"/>
      <c r="SIZ1365" s="76"/>
      <c r="SJA1365" s="76"/>
      <c r="SJB1365" s="76"/>
      <c r="SJC1365" s="76"/>
      <c r="SJD1365" s="76"/>
      <c r="SJE1365" s="76"/>
      <c r="SJF1365" s="76"/>
      <c r="SJG1365" s="76"/>
      <c r="SJH1365" s="76"/>
      <c r="SJI1365" s="76"/>
      <c r="SJJ1365" s="76"/>
      <c r="SJK1365" s="76"/>
      <c r="SJL1365" s="76"/>
      <c r="SJM1365" s="76"/>
      <c r="SJN1365" s="76"/>
      <c r="SJO1365" s="76"/>
      <c r="SJP1365" s="76"/>
      <c r="SJQ1365" s="76"/>
      <c r="SJR1365" s="76"/>
      <c r="SJS1365" s="76"/>
      <c r="SJT1365" s="76"/>
      <c r="SJU1365" s="76"/>
      <c r="SJV1365" s="76"/>
      <c r="SJW1365" s="76"/>
      <c r="SJX1365" s="76"/>
      <c r="SJY1365" s="76"/>
      <c r="SJZ1365" s="76"/>
      <c r="SKA1365" s="76"/>
      <c r="SKB1365" s="76"/>
      <c r="SKC1365" s="76"/>
      <c r="SKD1365" s="76"/>
      <c r="SKE1365" s="76"/>
      <c r="SKF1365" s="76"/>
      <c r="SKG1365" s="76"/>
      <c r="SKH1365" s="76"/>
      <c r="SKI1365" s="76"/>
      <c r="SKJ1365" s="76"/>
      <c r="SKK1365" s="76"/>
      <c r="SKL1365" s="76"/>
      <c r="SKM1365" s="76"/>
      <c r="SKN1365" s="76"/>
      <c r="SKO1365" s="76"/>
      <c r="SKP1365" s="76"/>
      <c r="SKQ1365" s="76"/>
      <c r="SKR1365" s="76"/>
      <c r="SKS1365" s="76"/>
      <c r="SKT1365" s="76"/>
      <c r="SKU1365" s="76"/>
      <c r="SKV1365" s="76"/>
      <c r="SKW1365" s="76"/>
      <c r="SKX1365" s="76"/>
      <c r="SKY1365" s="76"/>
      <c r="SKZ1365" s="76"/>
      <c r="SLA1365" s="76"/>
      <c r="SLB1365" s="76"/>
      <c r="SLC1365" s="76"/>
      <c r="SLD1365" s="76"/>
      <c r="SLE1365" s="76"/>
      <c r="SLF1365" s="76"/>
      <c r="SLG1365" s="76"/>
      <c r="SLH1365" s="76"/>
      <c r="SLI1365" s="76"/>
      <c r="SLJ1365" s="76"/>
      <c r="SLK1365" s="76"/>
      <c r="SLL1365" s="76"/>
      <c r="SLM1365" s="76"/>
      <c r="SLN1365" s="76"/>
      <c r="SLO1365" s="76"/>
      <c r="SLP1365" s="76"/>
      <c r="SLQ1365" s="76"/>
      <c r="SLR1365" s="76"/>
      <c r="SLS1365" s="76"/>
      <c r="SLT1365" s="76"/>
      <c r="SLU1365" s="76"/>
      <c r="SLV1365" s="76"/>
      <c r="SLW1365" s="76"/>
      <c r="SLX1365" s="76"/>
      <c r="SLY1365" s="76"/>
      <c r="SLZ1365" s="76"/>
      <c r="SMA1365" s="76"/>
      <c r="SMB1365" s="76"/>
      <c r="SMC1365" s="76"/>
      <c r="SMD1365" s="76"/>
      <c r="SME1365" s="76"/>
      <c r="SMF1365" s="76"/>
      <c r="SMG1365" s="76"/>
      <c r="SMH1365" s="76"/>
      <c r="SMI1365" s="76"/>
      <c r="SMJ1365" s="76"/>
      <c r="SMK1365" s="76"/>
      <c r="SML1365" s="76"/>
      <c r="SMM1365" s="76"/>
      <c r="SMN1365" s="76"/>
      <c r="SMO1365" s="76"/>
      <c r="SMP1365" s="76"/>
      <c r="SMQ1365" s="76"/>
      <c r="SMR1365" s="76"/>
      <c r="SMS1365" s="76"/>
      <c r="SMT1365" s="76"/>
      <c r="SMU1365" s="76"/>
      <c r="SMV1365" s="76"/>
      <c r="SMW1365" s="76"/>
      <c r="SMX1365" s="76"/>
      <c r="SMY1365" s="76"/>
      <c r="SMZ1365" s="76"/>
      <c r="SNA1365" s="76"/>
      <c r="SNB1365" s="76"/>
      <c r="SNC1365" s="76"/>
      <c r="SND1365" s="76"/>
      <c r="SNE1365" s="76"/>
      <c r="SNF1365" s="76"/>
      <c r="SNG1365" s="76"/>
      <c r="SNH1365" s="76"/>
      <c r="SNI1365" s="76"/>
      <c r="SNJ1365" s="76"/>
      <c r="SNK1365" s="76"/>
      <c r="SNL1365" s="76"/>
      <c r="SNM1365" s="76"/>
      <c r="SNN1365" s="76"/>
      <c r="SNO1365" s="76"/>
      <c r="SNP1365" s="76"/>
      <c r="SNQ1365" s="76"/>
      <c r="SNR1365" s="76"/>
      <c r="SNS1365" s="76"/>
      <c r="SNT1365" s="76"/>
      <c r="SNU1365" s="76"/>
      <c r="SNV1365" s="76"/>
      <c r="SNW1365" s="76"/>
      <c r="SNX1365" s="76"/>
      <c r="SNY1365" s="76"/>
      <c r="SNZ1365" s="76"/>
      <c r="SOA1365" s="76"/>
      <c r="SOB1365" s="76"/>
      <c r="SOC1365" s="76"/>
      <c r="SOD1365" s="76"/>
      <c r="SOE1365" s="76"/>
      <c r="SOF1365" s="76"/>
      <c r="SOG1365" s="76"/>
      <c r="SOH1365" s="76"/>
      <c r="SOI1365" s="76"/>
      <c r="SOJ1365" s="76"/>
      <c r="SOK1365" s="76"/>
      <c r="SOL1365" s="76"/>
      <c r="SOM1365" s="76"/>
      <c r="SON1365" s="76"/>
      <c r="SOO1365" s="76"/>
      <c r="SOP1365" s="76"/>
      <c r="SOQ1365" s="76"/>
      <c r="SOR1365" s="76"/>
      <c r="SOS1365" s="76"/>
      <c r="SOT1365" s="76"/>
      <c r="SOU1365" s="76"/>
      <c r="SOV1365" s="76"/>
      <c r="SOW1365" s="76"/>
      <c r="SOX1365" s="76"/>
      <c r="SOY1365" s="76"/>
      <c r="SOZ1365" s="76"/>
      <c r="SPA1365" s="76"/>
      <c r="SPB1365" s="76"/>
      <c r="SPC1365" s="76"/>
      <c r="SPD1365" s="76"/>
      <c r="SPE1365" s="76"/>
      <c r="SPF1365" s="76"/>
      <c r="SPG1365" s="76"/>
      <c r="SPH1365" s="76"/>
      <c r="SPI1365" s="76"/>
      <c r="SPJ1365" s="76"/>
      <c r="SPK1365" s="76"/>
      <c r="SPL1365" s="76"/>
      <c r="SPM1365" s="76"/>
      <c r="SPN1365" s="76"/>
      <c r="SPO1365" s="76"/>
      <c r="SPP1365" s="76"/>
      <c r="SPQ1365" s="76"/>
      <c r="SPR1365" s="76"/>
      <c r="SPS1365" s="76"/>
      <c r="SPT1365" s="76"/>
      <c r="SPU1365" s="76"/>
      <c r="SPV1365" s="76"/>
      <c r="SPW1365" s="76"/>
      <c r="SPX1365" s="76"/>
      <c r="SPY1365" s="76"/>
      <c r="SPZ1365" s="76"/>
      <c r="SQA1365" s="76"/>
      <c r="SQB1365" s="76"/>
      <c r="SQC1365" s="76"/>
      <c r="SQD1365" s="76"/>
      <c r="SQE1365" s="76"/>
      <c r="SQF1365" s="76"/>
      <c r="SQG1365" s="76"/>
      <c r="SQH1365" s="76"/>
      <c r="SQI1365" s="76"/>
      <c r="SQJ1365" s="76"/>
      <c r="SQK1365" s="76"/>
      <c r="SQL1365" s="76"/>
      <c r="SQM1365" s="76"/>
      <c r="SQN1365" s="76"/>
      <c r="SQO1365" s="76"/>
      <c r="SQP1365" s="76"/>
      <c r="SQQ1365" s="76"/>
      <c r="SQR1365" s="76"/>
      <c r="SQS1365" s="76"/>
      <c r="SQT1365" s="76"/>
      <c r="SQU1365" s="76"/>
      <c r="SQV1365" s="76"/>
      <c r="SQW1365" s="76"/>
      <c r="SQX1365" s="76"/>
      <c r="SQY1365" s="76"/>
      <c r="SQZ1365" s="76"/>
      <c r="SRA1365" s="76"/>
      <c r="SRB1365" s="76"/>
      <c r="SRC1365" s="76"/>
      <c r="SRD1365" s="76"/>
      <c r="SRE1365" s="50"/>
      <c r="SRF1365" s="76"/>
      <c r="SRG1365" s="76"/>
      <c r="SRH1365" s="76"/>
      <c r="SRI1365" s="76"/>
      <c r="SRJ1365" s="76"/>
      <c r="SRK1365" s="76"/>
      <c r="SRL1365" s="76"/>
      <c r="SRM1365" s="76"/>
      <c r="SRN1365" s="76"/>
      <c r="SRO1365" s="76"/>
      <c r="SRP1365" s="76"/>
      <c r="SRQ1365" s="76"/>
      <c r="SRR1365" s="76"/>
      <c r="SRS1365" s="76"/>
      <c r="SRT1365" s="76"/>
      <c r="SRU1365" s="76"/>
      <c r="SRV1365" s="76"/>
      <c r="SRW1365" s="76"/>
      <c r="SRX1365" s="76"/>
      <c r="SRY1365" s="76"/>
      <c r="SRZ1365" s="76"/>
      <c r="SSA1365" s="76"/>
      <c r="SSB1365" s="76"/>
      <c r="SSC1365" s="76"/>
      <c r="SSD1365" s="76"/>
      <c r="SSE1365" s="76"/>
      <c r="SSF1365" s="76"/>
      <c r="SSG1365" s="76"/>
      <c r="SSH1365" s="76"/>
      <c r="SSI1365" s="76"/>
      <c r="SSJ1365" s="76"/>
      <c r="SSK1365" s="76"/>
      <c r="SSL1365" s="76"/>
      <c r="SSM1365" s="76"/>
      <c r="SSN1365" s="76"/>
      <c r="SSO1365" s="76"/>
      <c r="SSP1365" s="76"/>
      <c r="SSQ1365" s="76"/>
      <c r="SSR1365" s="76"/>
      <c r="SSS1365" s="76"/>
      <c r="SST1365" s="76"/>
      <c r="SSU1365" s="76"/>
      <c r="SSV1365" s="76"/>
      <c r="SSW1365" s="76"/>
      <c r="SSX1365" s="76"/>
      <c r="SSY1365" s="76"/>
      <c r="SSZ1365" s="76"/>
      <c r="STA1365" s="76"/>
      <c r="STB1365" s="76"/>
      <c r="STC1365" s="76"/>
      <c r="STD1365" s="76"/>
      <c r="STE1365" s="76"/>
      <c r="STF1365" s="76"/>
      <c r="STG1365" s="76"/>
      <c r="STH1365" s="76"/>
      <c r="STI1365" s="76"/>
      <c r="STJ1365" s="76"/>
      <c r="STK1365" s="76"/>
      <c r="STL1365" s="76"/>
      <c r="STM1365" s="76"/>
      <c r="STN1365" s="76"/>
      <c r="STO1365" s="76"/>
      <c r="STP1365" s="76"/>
      <c r="STQ1365" s="76"/>
      <c r="STR1365" s="76"/>
      <c r="STS1365" s="76"/>
      <c r="STT1365" s="76"/>
      <c r="STU1365" s="76"/>
      <c r="STV1365" s="76"/>
      <c r="STW1365" s="76"/>
      <c r="STX1365" s="76"/>
      <c r="STY1365" s="76"/>
      <c r="STZ1365" s="76"/>
      <c r="SUA1365" s="76"/>
      <c r="SUB1365" s="76"/>
      <c r="SUC1365" s="76"/>
      <c r="SUD1365" s="76"/>
      <c r="SUE1365" s="76"/>
      <c r="SUF1365" s="76"/>
      <c r="SUG1365" s="76"/>
      <c r="SUH1365" s="76"/>
      <c r="SUI1365" s="76"/>
      <c r="SUJ1365" s="76"/>
      <c r="SUK1365" s="76"/>
      <c r="SUL1365" s="76"/>
      <c r="SUM1365" s="76"/>
      <c r="SUN1365" s="76"/>
      <c r="SUO1365" s="76"/>
      <c r="SUP1365" s="76"/>
      <c r="SUQ1365" s="76"/>
      <c r="SUR1365" s="76"/>
      <c r="SUS1365" s="76"/>
      <c r="SUT1365" s="76"/>
      <c r="SUU1365" s="76"/>
      <c r="SUV1365" s="76"/>
      <c r="SUW1365" s="76"/>
      <c r="SUX1365" s="76"/>
      <c r="SUY1365" s="76"/>
      <c r="SUZ1365" s="76"/>
      <c r="SVA1365" s="76"/>
      <c r="SVB1365" s="76"/>
      <c r="SVC1365" s="76"/>
      <c r="SVD1365" s="76"/>
      <c r="SVE1365" s="76"/>
      <c r="SVF1365" s="76"/>
      <c r="SVG1365" s="76"/>
      <c r="SVH1365" s="76"/>
      <c r="SVI1365" s="76"/>
      <c r="SVJ1365" s="76"/>
      <c r="SVK1365" s="76"/>
      <c r="SVL1365" s="76"/>
      <c r="SVM1365" s="76"/>
      <c r="SVN1365" s="76"/>
      <c r="SVO1365" s="76"/>
      <c r="SVP1365" s="76"/>
      <c r="SVQ1365" s="76"/>
      <c r="SVR1365" s="76"/>
      <c r="SVS1365" s="76"/>
      <c r="SVT1365" s="76"/>
      <c r="SVU1365" s="76"/>
      <c r="SVV1365" s="76"/>
      <c r="SVW1365" s="76"/>
      <c r="SVX1365" s="76"/>
      <c r="SVY1365" s="76"/>
      <c r="SVZ1365" s="76"/>
      <c r="SWA1365" s="76"/>
      <c r="SWB1365" s="76"/>
      <c r="SWC1365" s="76"/>
      <c r="SWD1365" s="76"/>
      <c r="SWE1365" s="76"/>
      <c r="SWF1365" s="76"/>
      <c r="SWG1365" s="76"/>
      <c r="SWH1365" s="76"/>
      <c r="SWI1365" s="76"/>
      <c r="SWJ1365" s="76"/>
      <c r="SWK1365" s="76"/>
      <c r="SWL1365" s="76"/>
      <c r="SWM1365" s="76"/>
      <c r="SWN1365" s="76"/>
      <c r="SWO1365" s="76"/>
      <c r="SWP1365" s="76"/>
      <c r="SWQ1365" s="76"/>
      <c r="SWR1365" s="76"/>
      <c r="SWS1365" s="76"/>
      <c r="SWT1365" s="76"/>
      <c r="SWU1365" s="76"/>
      <c r="SWV1365" s="76"/>
      <c r="SWW1365" s="76"/>
      <c r="SWX1365" s="76"/>
      <c r="SWY1365" s="76"/>
      <c r="SWZ1365" s="76"/>
      <c r="SXA1365" s="76"/>
      <c r="SXB1365" s="76"/>
      <c r="SXC1365" s="76"/>
      <c r="SXD1365" s="76"/>
      <c r="SXE1365" s="76"/>
      <c r="SXF1365" s="76"/>
      <c r="SXG1365" s="76"/>
      <c r="SXH1365" s="76"/>
      <c r="SXI1365" s="76"/>
      <c r="SXJ1365" s="76"/>
      <c r="SXK1365" s="76"/>
      <c r="SXL1365" s="76"/>
      <c r="SXM1365" s="76"/>
      <c r="SXN1365" s="76"/>
      <c r="SXO1365" s="76"/>
      <c r="SXP1365" s="76"/>
      <c r="SXQ1365" s="76"/>
      <c r="SXR1365" s="76"/>
      <c r="SXS1365" s="76"/>
      <c r="SXT1365" s="76"/>
      <c r="SXU1365" s="76"/>
      <c r="SXV1365" s="76"/>
      <c r="SXW1365" s="76"/>
      <c r="SXX1365" s="76"/>
      <c r="SXY1365" s="76"/>
      <c r="SXZ1365" s="76"/>
      <c r="SYA1365" s="76"/>
      <c r="SYB1365" s="76"/>
      <c r="SYC1365" s="76"/>
      <c r="SYD1365" s="76"/>
      <c r="SYE1365" s="76"/>
      <c r="SYF1365" s="76"/>
      <c r="SYG1365" s="76"/>
      <c r="SYH1365" s="76"/>
      <c r="SYI1365" s="76"/>
      <c r="SYJ1365" s="76"/>
      <c r="SYK1365" s="76"/>
      <c r="SYL1365" s="76"/>
      <c r="SYM1365" s="76"/>
      <c r="SYN1365" s="76"/>
      <c r="SYO1365" s="76"/>
      <c r="SYP1365" s="76"/>
      <c r="SYQ1365" s="76"/>
      <c r="SYR1365" s="76"/>
      <c r="SYS1365" s="76"/>
      <c r="SYT1365" s="76"/>
      <c r="SYU1365" s="76"/>
      <c r="SYV1365" s="76"/>
      <c r="SYW1365" s="76"/>
      <c r="SYX1365" s="76"/>
      <c r="SYY1365" s="76"/>
      <c r="SYZ1365" s="76"/>
      <c r="SZA1365" s="76"/>
      <c r="SZB1365" s="76"/>
      <c r="SZC1365" s="76"/>
      <c r="SZD1365" s="76"/>
      <c r="SZE1365" s="76"/>
      <c r="SZF1365" s="76"/>
      <c r="SZG1365" s="76"/>
      <c r="SZH1365" s="76"/>
      <c r="SZI1365" s="76"/>
      <c r="SZJ1365" s="76"/>
      <c r="SZK1365" s="76"/>
      <c r="SZL1365" s="76"/>
      <c r="SZM1365" s="76"/>
      <c r="SZN1365" s="76"/>
      <c r="SZO1365" s="76"/>
      <c r="SZP1365" s="76"/>
      <c r="SZQ1365" s="76"/>
      <c r="SZR1365" s="76"/>
      <c r="SZS1365" s="76"/>
      <c r="SZT1365" s="76"/>
      <c r="SZU1365" s="76"/>
      <c r="SZV1365" s="76"/>
      <c r="SZW1365" s="76"/>
      <c r="SZX1365" s="76"/>
      <c r="SZY1365" s="76"/>
      <c r="SZZ1365" s="76"/>
      <c r="TAA1365" s="76"/>
      <c r="TAB1365" s="76"/>
      <c r="TAC1365" s="76"/>
      <c r="TAD1365" s="76"/>
      <c r="TAE1365" s="76"/>
      <c r="TAF1365" s="76"/>
      <c r="TAG1365" s="76"/>
      <c r="TAH1365" s="76"/>
      <c r="TAI1365" s="76"/>
      <c r="TAJ1365" s="76"/>
      <c r="TAK1365" s="76"/>
      <c r="TAL1365" s="76"/>
      <c r="TAM1365" s="76"/>
      <c r="TAN1365" s="76"/>
      <c r="TAO1365" s="76"/>
      <c r="TAP1365" s="76"/>
      <c r="TAQ1365" s="76"/>
      <c r="TAR1365" s="76"/>
      <c r="TAS1365" s="76"/>
      <c r="TAT1365" s="76"/>
      <c r="TAU1365" s="76"/>
      <c r="TAV1365" s="76"/>
      <c r="TAW1365" s="76"/>
      <c r="TAX1365" s="76"/>
      <c r="TAY1365" s="76"/>
      <c r="TAZ1365" s="76"/>
      <c r="TBA1365" s="50"/>
      <c r="TBB1365" s="76"/>
      <c r="TBC1365" s="76"/>
      <c r="TBD1365" s="76"/>
      <c r="TBE1365" s="76"/>
      <c r="TBF1365" s="76"/>
      <c r="TBG1365" s="76"/>
      <c r="TBH1365" s="76"/>
      <c r="TBI1365" s="76"/>
      <c r="TBJ1365" s="76"/>
      <c r="TBK1365" s="76"/>
      <c r="TBL1365" s="76"/>
      <c r="TBM1365" s="76"/>
      <c r="TBN1365" s="76"/>
      <c r="TBO1365" s="76"/>
      <c r="TBP1365" s="76"/>
      <c r="TBQ1365" s="76"/>
      <c r="TBR1365" s="76"/>
      <c r="TBS1365" s="76"/>
      <c r="TBT1365" s="76"/>
      <c r="TBU1365" s="76"/>
      <c r="TBV1365" s="76"/>
      <c r="TBW1365" s="76"/>
      <c r="TBX1365" s="76"/>
      <c r="TBY1365" s="76"/>
      <c r="TBZ1365" s="76"/>
      <c r="TCA1365" s="76"/>
      <c r="TCB1365" s="76"/>
      <c r="TCC1365" s="76"/>
      <c r="TCD1365" s="76"/>
      <c r="TCE1365" s="76"/>
      <c r="TCF1365" s="76"/>
      <c r="TCG1365" s="76"/>
      <c r="TCH1365" s="76"/>
      <c r="TCI1365" s="76"/>
      <c r="TCJ1365" s="76"/>
      <c r="TCK1365" s="76"/>
      <c r="TCL1365" s="76"/>
      <c r="TCM1365" s="76"/>
      <c r="TCN1365" s="76"/>
      <c r="TCO1365" s="76"/>
      <c r="TCP1365" s="76"/>
      <c r="TCQ1365" s="76"/>
      <c r="TCR1365" s="76"/>
      <c r="TCS1365" s="76"/>
      <c r="TCT1365" s="76"/>
      <c r="TCU1365" s="76"/>
      <c r="TCV1365" s="76"/>
      <c r="TCW1365" s="76"/>
      <c r="TCX1365" s="76"/>
      <c r="TCY1365" s="76"/>
      <c r="TCZ1365" s="76"/>
      <c r="TDA1365" s="76"/>
      <c r="TDB1365" s="76"/>
      <c r="TDC1365" s="76"/>
      <c r="TDD1365" s="76"/>
      <c r="TDE1365" s="76"/>
      <c r="TDF1365" s="76"/>
      <c r="TDG1365" s="76"/>
      <c r="TDH1365" s="76"/>
      <c r="TDI1365" s="76"/>
      <c r="TDJ1365" s="76"/>
      <c r="TDK1365" s="76"/>
      <c r="TDL1365" s="76"/>
      <c r="TDM1365" s="76"/>
      <c r="TDN1365" s="76"/>
      <c r="TDO1365" s="76"/>
      <c r="TDP1365" s="76"/>
      <c r="TDQ1365" s="76"/>
      <c r="TDR1365" s="76"/>
      <c r="TDS1365" s="76"/>
      <c r="TDT1365" s="76"/>
      <c r="TDU1365" s="76"/>
      <c r="TDV1365" s="76"/>
      <c r="TDW1365" s="76"/>
      <c r="TDX1365" s="76"/>
      <c r="TDY1365" s="76"/>
      <c r="TDZ1365" s="76"/>
      <c r="TEA1365" s="76"/>
      <c r="TEB1365" s="76"/>
      <c r="TEC1365" s="76"/>
      <c r="TED1365" s="76"/>
      <c r="TEE1365" s="76"/>
      <c r="TEF1365" s="76"/>
      <c r="TEG1365" s="76"/>
      <c r="TEH1365" s="76"/>
      <c r="TEI1365" s="76"/>
      <c r="TEJ1365" s="76"/>
      <c r="TEK1365" s="76"/>
      <c r="TEL1365" s="76"/>
      <c r="TEM1365" s="76"/>
      <c r="TEN1365" s="76"/>
      <c r="TEO1365" s="76"/>
      <c r="TEP1365" s="76"/>
      <c r="TEQ1365" s="76"/>
      <c r="TER1365" s="76"/>
      <c r="TES1365" s="76"/>
      <c r="TET1365" s="76"/>
      <c r="TEU1365" s="76"/>
      <c r="TEV1365" s="76"/>
      <c r="TEW1365" s="76"/>
      <c r="TEX1365" s="76"/>
      <c r="TEY1365" s="76"/>
      <c r="TEZ1365" s="76"/>
      <c r="TFA1365" s="76"/>
      <c r="TFB1365" s="76"/>
      <c r="TFC1365" s="76"/>
      <c r="TFD1365" s="76"/>
      <c r="TFE1365" s="76"/>
      <c r="TFF1365" s="76"/>
      <c r="TFG1365" s="76"/>
      <c r="TFH1365" s="76"/>
      <c r="TFI1365" s="76"/>
      <c r="TFJ1365" s="76"/>
      <c r="TFK1365" s="76"/>
      <c r="TFL1365" s="76"/>
      <c r="TFM1365" s="76"/>
      <c r="TFN1365" s="76"/>
      <c r="TFO1365" s="76"/>
      <c r="TFP1365" s="76"/>
      <c r="TFQ1365" s="76"/>
      <c r="TFR1365" s="76"/>
      <c r="TFS1365" s="76"/>
      <c r="TFT1365" s="76"/>
      <c r="TFU1365" s="76"/>
      <c r="TFV1365" s="76"/>
      <c r="TFW1365" s="76"/>
      <c r="TFX1365" s="76"/>
      <c r="TFY1365" s="76"/>
      <c r="TFZ1365" s="76"/>
      <c r="TGA1365" s="76"/>
      <c r="TGB1365" s="76"/>
      <c r="TGC1365" s="76"/>
      <c r="TGD1365" s="76"/>
      <c r="TGE1365" s="76"/>
      <c r="TGF1365" s="76"/>
      <c r="TGG1365" s="76"/>
      <c r="TGH1365" s="76"/>
      <c r="TGI1365" s="76"/>
      <c r="TGJ1365" s="76"/>
      <c r="TGK1365" s="76"/>
      <c r="TGL1365" s="76"/>
      <c r="TGM1365" s="76"/>
      <c r="TGN1365" s="76"/>
      <c r="TGO1365" s="76"/>
      <c r="TGP1365" s="76"/>
      <c r="TGQ1365" s="76"/>
      <c r="TGR1365" s="76"/>
      <c r="TGS1365" s="76"/>
      <c r="TGT1365" s="76"/>
      <c r="TGU1365" s="76"/>
      <c r="TGV1365" s="76"/>
      <c r="TGW1365" s="76"/>
      <c r="TGX1365" s="76"/>
      <c r="TGY1365" s="76"/>
      <c r="TGZ1365" s="76"/>
      <c r="THA1365" s="76"/>
      <c r="THB1365" s="76"/>
      <c r="THC1365" s="76"/>
      <c r="THD1365" s="76"/>
      <c r="THE1365" s="76"/>
      <c r="THF1365" s="76"/>
      <c r="THG1365" s="76"/>
      <c r="THH1365" s="76"/>
      <c r="THI1365" s="76"/>
      <c r="THJ1365" s="76"/>
      <c r="THK1365" s="76"/>
      <c r="THL1365" s="76"/>
      <c r="THM1365" s="76"/>
      <c r="THN1365" s="76"/>
      <c r="THO1365" s="76"/>
      <c r="THP1365" s="76"/>
      <c r="THQ1365" s="76"/>
      <c r="THR1365" s="76"/>
      <c r="THS1365" s="76"/>
      <c r="THT1365" s="76"/>
      <c r="THU1365" s="76"/>
      <c r="THV1365" s="76"/>
      <c r="THW1365" s="76"/>
      <c r="THX1365" s="76"/>
      <c r="THY1365" s="76"/>
      <c r="THZ1365" s="76"/>
      <c r="TIA1365" s="76"/>
      <c r="TIB1365" s="76"/>
      <c r="TIC1365" s="76"/>
      <c r="TID1365" s="76"/>
      <c r="TIE1365" s="76"/>
      <c r="TIF1365" s="76"/>
      <c r="TIG1365" s="76"/>
      <c r="TIH1365" s="76"/>
      <c r="TII1365" s="76"/>
      <c r="TIJ1365" s="76"/>
      <c r="TIK1365" s="76"/>
      <c r="TIL1365" s="76"/>
      <c r="TIM1365" s="76"/>
      <c r="TIN1365" s="76"/>
      <c r="TIO1365" s="76"/>
      <c r="TIP1365" s="76"/>
      <c r="TIQ1365" s="76"/>
      <c r="TIR1365" s="76"/>
      <c r="TIS1365" s="76"/>
      <c r="TIT1365" s="76"/>
      <c r="TIU1365" s="76"/>
      <c r="TIV1365" s="76"/>
      <c r="TIW1365" s="76"/>
      <c r="TIX1365" s="76"/>
      <c r="TIY1365" s="76"/>
      <c r="TIZ1365" s="76"/>
      <c r="TJA1365" s="76"/>
      <c r="TJB1365" s="76"/>
      <c r="TJC1365" s="76"/>
      <c r="TJD1365" s="76"/>
      <c r="TJE1365" s="76"/>
      <c r="TJF1365" s="76"/>
      <c r="TJG1365" s="76"/>
      <c r="TJH1365" s="76"/>
      <c r="TJI1365" s="76"/>
      <c r="TJJ1365" s="76"/>
      <c r="TJK1365" s="76"/>
      <c r="TJL1365" s="76"/>
      <c r="TJM1365" s="76"/>
      <c r="TJN1365" s="76"/>
      <c r="TJO1365" s="76"/>
      <c r="TJP1365" s="76"/>
      <c r="TJQ1365" s="76"/>
      <c r="TJR1365" s="76"/>
      <c r="TJS1365" s="76"/>
      <c r="TJT1365" s="76"/>
      <c r="TJU1365" s="76"/>
      <c r="TJV1365" s="76"/>
      <c r="TJW1365" s="76"/>
      <c r="TJX1365" s="76"/>
      <c r="TJY1365" s="76"/>
      <c r="TJZ1365" s="76"/>
      <c r="TKA1365" s="76"/>
      <c r="TKB1365" s="76"/>
      <c r="TKC1365" s="76"/>
      <c r="TKD1365" s="76"/>
      <c r="TKE1365" s="76"/>
      <c r="TKF1365" s="76"/>
      <c r="TKG1365" s="76"/>
      <c r="TKH1365" s="76"/>
      <c r="TKI1365" s="76"/>
      <c r="TKJ1365" s="76"/>
      <c r="TKK1365" s="76"/>
      <c r="TKL1365" s="76"/>
      <c r="TKM1365" s="76"/>
      <c r="TKN1365" s="76"/>
      <c r="TKO1365" s="76"/>
      <c r="TKP1365" s="76"/>
      <c r="TKQ1365" s="76"/>
      <c r="TKR1365" s="76"/>
      <c r="TKS1365" s="76"/>
      <c r="TKT1365" s="76"/>
      <c r="TKU1365" s="76"/>
      <c r="TKV1365" s="76"/>
      <c r="TKW1365" s="50"/>
      <c r="TKX1365" s="76"/>
      <c r="TKY1365" s="76"/>
      <c r="TKZ1365" s="76"/>
      <c r="TLA1365" s="76"/>
      <c r="TLB1365" s="76"/>
      <c r="TLC1365" s="76"/>
      <c r="TLD1365" s="76"/>
      <c r="TLE1365" s="76"/>
      <c r="TLF1365" s="76"/>
      <c r="TLG1365" s="76"/>
      <c r="TLH1365" s="76"/>
      <c r="TLI1365" s="76"/>
      <c r="TLJ1365" s="76"/>
      <c r="TLK1365" s="76"/>
      <c r="TLL1365" s="76"/>
      <c r="TLM1365" s="76"/>
      <c r="TLN1365" s="76"/>
      <c r="TLO1365" s="76"/>
      <c r="TLP1365" s="76"/>
      <c r="TLQ1365" s="76"/>
      <c r="TLR1365" s="76"/>
      <c r="TLS1365" s="76"/>
      <c r="TLT1365" s="76"/>
      <c r="TLU1365" s="76"/>
      <c r="TLV1365" s="76"/>
      <c r="TLW1365" s="76"/>
      <c r="TLX1365" s="76"/>
      <c r="TLY1365" s="76"/>
      <c r="TLZ1365" s="76"/>
      <c r="TMA1365" s="76"/>
      <c r="TMB1365" s="76"/>
      <c r="TMC1365" s="76"/>
      <c r="TMD1365" s="76"/>
      <c r="TME1365" s="76"/>
      <c r="TMF1365" s="76"/>
      <c r="TMG1365" s="76"/>
      <c r="TMH1365" s="76"/>
      <c r="TMI1365" s="76"/>
      <c r="TMJ1365" s="76"/>
      <c r="TMK1365" s="76"/>
      <c r="TML1365" s="76"/>
      <c r="TMM1365" s="76"/>
      <c r="TMN1365" s="76"/>
      <c r="TMO1365" s="76"/>
      <c r="TMP1365" s="76"/>
      <c r="TMQ1365" s="76"/>
      <c r="TMR1365" s="76"/>
      <c r="TMS1365" s="76"/>
      <c r="TMT1365" s="76"/>
      <c r="TMU1365" s="76"/>
      <c r="TMV1365" s="76"/>
      <c r="TMW1365" s="76"/>
      <c r="TMX1365" s="76"/>
      <c r="TMY1365" s="76"/>
      <c r="TMZ1365" s="76"/>
      <c r="TNA1365" s="76"/>
      <c r="TNB1365" s="76"/>
      <c r="TNC1365" s="76"/>
      <c r="TND1365" s="76"/>
      <c r="TNE1365" s="76"/>
      <c r="TNF1365" s="76"/>
      <c r="TNG1365" s="76"/>
      <c r="TNH1365" s="76"/>
      <c r="TNI1365" s="76"/>
      <c r="TNJ1365" s="76"/>
      <c r="TNK1365" s="76"/>
      <c r="TNL1365" s="76"/>
      <c r="TNM1365" s="76"/>
      <c r="TNN1365" s="76"/>
      <c r="TNO1365" s="76"/>
      <c r="TNP1365" s="76"/>
      <c r="TNQ1365" s="76"/>
      <c r="TNR1365" s="76"/>
      <c r="TNS1365" s="76"/>
      <c r="TNT1365" s="76"/>
      <c r="TNU1365" s="76"/>
      <c r="TNV1365" s="76"/>
      <c r="TNW1365" s="76"/>
      <c r="TNX1365" s="76"/>
      <c r="TNY1365" s="76"/>
      <c r="TNZ1365" s="76"/>
      <c r="TOA1365" s="76"/>
      <c r="TOB1365" s="76"/>
      <c r="TOC1365" s="76"/>
      <c r="TOD1365" s="76"/>
      <c r="TOE1365" s="76"/>
      <c r="TOF1365" s="76"/>
      <c r="TOG1365" s="76"/>
      <c r="TOH1365" s="76"/>
      <c r="TOI1365" s="76"/>
      <c r="TOJ1365" s="76"/>
      <c r="TOK1365" s="76"/>
      <c r="TOL1365" s="76"/>
      <c r="TOM1365" s="76"/>
      <c r="TON1365" s="76"/>
      <c r="TOO1365" s="76"/>
      <c r="TOP1365" s="76"/>
      <c r="TOQ1365" s="76"/>
      <c r="TOR1365" s="76"/>
      <c r="TOS1365" s="76"/>
      <c r="TOT1365" s="76"/>
      <c r="TOU1365" s="76"/>
      <c r="TOV1365" s="76"/>
      <c r="TOW1365" s="76"/>
      <c r="TOX1365" s="76"/>
      <c r="TOY1365" s="76"/>
      <c r="TOZ1365" s="76"/>
      <c r="TPA1365" s="76"/>
      <c r="TPB1365" s="76"/>
      <c r="TPC1365" s="76"/>
      <c r="TPD1365" s="76"/>
      <c r="TPE1365" s="76"/>
      <c r="TPF1365" s="76"/>
      <c r="TPG1365" s="76"/>
      <c r="TPH1365" s="76"/>
      <c r="TPI1365" s="76"/>
      <c r="TPJ1365" s="76"/>
      <c r="TPK1365" s="76"/>
      <c r="TPL1365" s="76"/>
      <c r="TPM1365" s="76"/>
      <c r="TPN1365" s="76"/>
      <c r="TPO1365" s="76"/>
      <c r="TPP1365" s="76"/>
      <c r="TPQ1365" s="76"/>
      <c r="TPR1365" s="76"/>
      <c r="TPS1365" s="76"/>
      <c r="TPT1365" s="76"/>
      <c r="TPU1365" s="76"/>
      <c r="TPV1365" s="76"/>
      <c r="TPW1365" s="76"/>
      <c r="TPX1365" s="76"/>
      <c r="TPY1365" s="76"/>
      <c r="TPZ1365" s="76"/>
      <c r="TQA1365" s="76"/>
      <c r="TQB1365" s="76"/>
      <c r="TQC1365" s="76"/>
      <c r="TQD1365" s="76"/>
      <c r="TQE1365" s="76"/>
      <c r="TQF1365" s="76"/>
      <c r="TQG1365" s="76"/>
      <c r="TQH1365" s="76"/>
      <c r="TQI1365" s="76"/>
      <c r="TQJ1365" s="76"/>
      <c r="TQK1365" s="76"/>
      <c r="TQL1365" s="76"/>
      <c r="TQM1365" s="76"/>
      <c r="TQN1365" s="76"/>
      <c r="TQO1365" s="76"/>
      <c r="TQP1365" s="76"/>
      <c r="TQQ1365" s="76"/>
      <c r="TQR1365" s="76"/>
      <c r="TQS1365" s="76"/>
      <c r="TQT1365" s="76"/>
      <c r="TQU1365" s="76"/>
      <c r="TQV1365" s="76"/>
      <c r="TQW1365" s="76"/>
      <c r="TQX1365" s="76"/>
      <c r="TQY1365" s="76"/>
      <c r="TQZ1365" s="76"/>
      <c r="TRA1365" s="76"/>
      <c r="TRB1365" s="76"/>
      <c r="TRC1365" s="76"/>
      <c r="TRD1365" s="76"/>
      <c r="TRE1365" s="76"/>
      <c r="TRF1365" s="76"/>
      <c r="TRG1365" s="76"/>
      <c r="TRH1365" s="76"/>
      <c r="TRI1365" s="76"/>
      <c r="TRJ1365" s="76"/>
      <c r="TRK1365" s="76"/>
      <c r="TRL1365" s="76"/>
      <c r="TRM1365" s="76"/>
      <c r="TRN1365" s="76"/>
      <c r="TRO1365" s="76"/>
      <c r="TRP1365" s="76"/>
      <c r="TRQ1365" s="76"/>
      <c r="TRR1365" s="76"/>
      <c r="TRS1365" s="76"/>
      <c r="TRT1365" s="76"/>
      <c r="TRU1365" s="76"/>
      <c r="TRV1365" s="76"/>
      <c r="TRW1365" s="76"/>
      <c r="TRX1365" s="76"/>
      <c r="TRY1365" s="76"/>
      <c r="TRZ1365" s="76"/>
      <c r="TSA1365" s="76"/>
      <c r="TSB1365" s="76"/>
      <c r="TSC1365" s="76"/>
      <c r="TSD1365" s="76"/>
      <c r="TSE1365" s="76"/>
      <c r="TSF1365" s="76"/>
      <c r="TSG1365" s="76"/>
      <c r="TSH1365" s="76"/>
      <c r="TSI1365" s="76"/>
      <c r="TSJ1365" s="76"/>
      <c r="TSK1365" s="76"/>
      <c r="TSL1365" s="76"/>
      <c r="TSM1365" s="76"/>
      <c r="TSN1365" s="76"/>
      <c r="TSO1365" s="76"/>
      <c r="TSP1365" s="76"/>
      <c r="TSQ1365" s="76"/>
      <c r="TSR1365" s="76"/>
      <c r="TSS1365" s="76"/>
      <c r="TST1365" s="76"/>
      <c r="TSU1365" s="76"/>
      <c r="TSV1365" s="76"/>
      <c r="TSW1365" s="76"/>
      <c r="TSX1365" s="76"/>
      <c r="TSY1365" s="76"/>
      <c r="TSZ1365" s="76"/>
      <c r="TTA1365" s="76"/>
      <c r="TTB1365" s="76"/>
      <c r="TTC1365" s="76"/>
      <c r="TTD1365" s="76"/>
      <c r="TTE1365" s="76"/>
      <c r="TTF1365" s="76"/>
      <c r="TTG1365" s="76"/>
      <c r="TTH1365" s="76"/>
      <c r="TTI1365" s="76"/>
      <c r="TTJ1365" s="76"/>
      <c r="TTK1365" s="76"/>
      <c r="TTL1365" s="76"/>
      <c r="TTM1365" s="76"/>
      <c r="TTN1365" s="76"/>
      <c r="TTO1365" s="76"/>
      <c r="TTP1365" s="76"/>
      <c r="TTQ1365" s="76"/>
      <c r="TTR1365" s="76"/>
      <c r="TTS1365" s="76"/>
      <c r="TTT1365" s="76"/>
      <c r="TTU1365" s="76"/>
      <c r="TTV1365" s="76"/>
      <c r="TTW1365" s="76"/>
      <c r="TTX1365" s="76"/>
      <c r="TTY1365" s="76"/>
      <c r="TTZ1365" s="76"/>
      <c r="TUA1365" s="76"/>
      <c r="TUB1365" s="76"/>
      <c r="TUC1365" s="76"/>
      <c r="TUD1365" s="76"/>
      <c r="TUE1365" s="76"/>
      <c r="TUF1365" s="76"/>
      <c r="TUG1365" s="76"/>
      <c r="TUH1365" s="76"/>
      <c r="TUI1365" s="76"/>
      <c r="TUJ1365" s="76"/>
      <c r="TUK1365" s="76"/>
      <c r="TUL1365" s="76"/>
      <c r="TUM1365" s="76"/>
      <c r="TUN1365" s="76"/>
      <c r="TUO1365" s="76"/>
      <c r="TUP1365" s="76"/>
      <c r="TUQ1365" s="76"/>
      <c r="TUR1365" s="76"/>
      <c r="TUS1365" s="50"/>
      <c r="TUT1365" s="76"/>
      <c r="TUU1365" s="76"/>
      <c r="TUV1365" s="76"/>
      <c r="TUW1365" s="76"/>
      <c r="TUX1365" s="76"/>
      <c r="TUY1365" s="76"/>
      <c r="TUZ1365" s="76"/>
      <c r="TVA1365" s="76"/>
      <c r="TVB1365" s="76"/>
      <c r="TVC1365" s="76"/>
      <c r="TVD1365" s="76"/>
      <c r="TVE1365" s="76"/>
      <c r="TVF1365" s="76"/>
      <c r="TVG1365" s="76"/>
      <c r="TVH1365" s="76"/>
      <c r="TVI1365" s="76"/>
      <c r="TVJ1365" s="76"/>
      <c r="TVK1365" s="76"/>
      <c r="TVL1365" s="76"/>
      <c r="TVM1365" s="76"/>
      <c r="TVN1365" s="76"/>
      <c r="TVO1365" s="76"/>
      <c r="TVP1365" s="76"/>
      <c r="TVQ1365" s="76"/>
      <c r="TVR1365" s="76"/>
      <c r="TVS1365" s="76"/>
      <c r="TVT1365" s="76"/>
      <c r="TVU1365" s="76"/>
      <c r="TVV1365" s="76"/>
      <c r="TVW1365" s="76"/>
      <c r="TVX1365" s="76"/>
      <c r="TVY1365" s="76"/>
      <c r="TVZ1365" s="76"/>
      <c r="TWA1365" s="76"/>
      <c r="TWB1365" s="76"/>
      <c r="TWC1365" s="76"/>
      <c r="TWD1365" s="76"/>
      <c r="TWE1365" s="76"/>
      <c r="TWF1365" s="76"/>
      <c r="TWG1365" s="76"/>
      <c r="TWH1365" s="76"/>
      <c r="TWI1365" s="76"/>
      <c r="TWJ1365" s="76"/>
      <c r="TWK1365" s="76"/>
      <c r="TWL1365" s="76"/>
      <c r="TWM1365" s="76"/>
      <c r="TWN1365" s="76"/>
      <c r="TWO1365" s="76"/>
      <c r="TWP1365" s="76"/>
      <c r="TWQ1365" s="76"/>
      <c r="TWR1365" s="76"/>
      <c r="TWS1365" s="76"/>
      <c r="TWT1365" s="76"/>
      <c r="TWU1365" s="76"/>
      <c r="TWV1365" s="76"/>
      <c r="TWW1365" s="76"/>
      <c r="TWX1365" s="76"/>
      <c r="TWY1365" s="76"/>
      <c r="TWZ1365" s="76"/>
      <c r="TXA1365" s="76"/>
      <c r="TXB1365" s="76"/>
      <c r="TXC1365" s="76"/>
      <c r="TXD1365" s="76"/>
      <c r="TXE1365" s="76"/>
      <c r="TXF1365" s="76"/>
      <c r="TXG1365" s="76"/>
      <c r="TXH1365" s="76"/>
      <c r="TXI1365" s="76"/>
      <c r="TXJ1365" s="76"/>
      <c r="TXK1365" s="76"/>
      <c r="TXL1365" s="76"/>
      <c r="TXM1365" s="76"/>
      <c r="TXN1365" s="76"/>
      <c r="TXO1365" s="76"/>
      <c r="TXP1365" s="76"/>
      <c r="TXQ1365" s="76"/>
      <c r="TXR1365" s="76"/>
      <c r="TXS1365" s="76"/>
      <c r="TXT1365" s="76"/>
      <c r="TXU1365" s="76"/>
      <c r="TXV1365" s="76"/>
      <c r="TXW1365" s="76"/>
      <c r="TXX1365" s="76"/>
      <c r="TXY1365" s="76"/>
      <c r="TXZ1365" s="76"/>
      <c r="TYA1365" s="76"/>
      <c r="TYB1365" s="76"/>
      <c r="TYC1365" s="76"/>
      <c r="TYD1365" s="76"/>
      <c r="TYE1365" s="76"/>
      <c r="TYF1365" s="76"/>
      <c r="TYG1365" s="76"/>
      <c r="TYH1365" s="76"/>
      <c r="TYI1365" s="76"/>
      <c r="TYJ1365" s="76"/>
      <c r="TYK1365" s="76"/>
      <c r="TYL1365" s="76"/>
      <c r="TYM1365" s="76"/>
      <c r="TYN1365" s="76"/>
      <c r="TYO1365" s="76"/>
      <c r="TYP1365" s="76"/>
      <c r="TYQ1365" s="76"/>
      <c r="TYR1365" s="76"/>
      <c r="TYS1365" s="76"/>
      <c r="TYT1365" s="76"/>
      <c r="TYU1365" s="76"/>
      <c r="TYV1365" s="76"/>
      <c r="TYW1365" s="76"/>
      <c r="TYX1365" s="76"/>
      <c r="TYY1365" s="76"/>
      <c r="TYZ1365" s="76"/>
      <c r="TZA1365" s="76"/>
      <c r="TZB1365" s="76"/>
      <c r="TZC1365" s="76"/>
      <c r="TZD1365" s="76"/>
      <c r="TZE1365" s="76"/>
      <c r="TZF1365" s="76"/>
      <c r="TZG1365" s="76"/>
      <c r="TZH1365" s="76"/>
      <c r="TZI1365" s="76"/>
      <c r="TZJ1365" s="76"/>
      <c r="TZK1365" s="76"/>
      <c r="TZL1365" s="76"/>
      <c r="TZM1365" s="76"/>
      <c r="TZN1365" s="76"/>
      <c r="TZO1365" s="76"/>
      <c r="TZP1365" s="76"/>
      <c r="TZQ1365" s="76"/>
      <c r="TZR1365" s="76"/>
      <c r="TZS1365" s="76"/>
      <c r="TZT1365" s="76"/>
      <c r="TZU1365" s="76"/>
      <c r="TZV1365" s="76"/>
      <c r="TZW1365" s="76"/>
      <c r="TZX1365" s="76"/>
      <c r="TZY1365" s="76"/>
      <c r="TZZ1365" s="76"/>
      <c r="UAA1365" s="76"/>
      <c r="UAB1365" s="76"/>
      <c r="UAC1365" s="76"/>
      <c r="UAD1365" s="76"/>
      <c r="UAE1365" s="76"/>
      <c r="UAF1365" s="76"/>
      <c r="UAG1365" s="76"/>
      <c r="UAH1365" s="76"/>
      <c r="UAI1365" s="76"/>
      <c r="UAJ1365" s="76"/>
      <c r="UAK1365" s="76"/>
      <c r="UAL1365" s="76"/>
      <c r="UAM1365" s="76"/>
      <c r="UAN1365" s="76"/>
      <c r="UAO1365" s="76"/>
      <c r="UAP1365" s="76"/>
      <c r="UAQ1365" s="76"/>
      <c r="UAR1365" s="76"/>
      <c r="UAS1365" s="76"/>
      <c r="UAT1365" s="76"/>
      <c r="UAU1365" s="76"/>
      <c r="UAV1365" s="76"/>
      <c r="UAW1365" s="76"/>
      <c r="UAX1365" s="76"/>
      <c r="UAY1365" s="76"/>
      <c r="UAZ1365" s="76"/>
      <c r="UBA1365" s="76"/>
      <c r="UBB1365" s="76"/>
      <c r="UBC1365" s="76"/>
      <c r="UBD1365" s="76"/>
      <c r="UBE1365" s="76"/>
      <c r="UBF1365" s="76"/>
      <c r="UBG1365" s="76"/>
      <c r="UBH1365" s="76"/>
      <c r="UBI1365" s="76"/>
      <c r="UBJ1365" s="76"/>
      <c r="UBK1365" s="76"/>
      <c r="UBL1365" s="76"/>
      <c r="UBM1365" s="76"/>
      <c r="UBN1365" s="76"/>
      <c r="UBO1365" s="76"/>
      <c r="UBP1365" s="76"/>
      <c r="UBQ1365" s="76"/>
      <c r="UBR1365" s="76"/>
      <c r="UBS1365" s="76"/>
      <c r="UBT1365" s="76"/>
      <c r="UBU1365" s="76"/>
      <c r="UBV1365" s="76"/>
      <c r="UBW1365" s="76"/>
      <c r="UBX1365" s="76"/>
      <c r="UBY1365" s="76"/>
      <c r="UBZ1365" s="76"/>
      <c r="UCA1365" s="76"/>
      <c r="UCB1365" s="76"/>
      <c r="UCC1365" s="76"/>
      <c r="UCD1365" s="76"/>
      <c r="UCE1365" s="76"/>
      <c r="UCF1365" s="76"/>
      <c r="UCG1365" s="76"/>
      <c r="UCH1365" s="76"/>
      <c r="UCI1365" s="76"/>
      <c r="UCJ1365" s="76"/>
      <c r="UCK1365" s="76"/>
      <c r="UCL1365" s="76"/>
      <c r="UCM1365" s="76"/>
      <c r="UCN1365" s="76"/>
      <c r="UCO1365" s="76"/>
      <c r="UCP1365" s="76"/>
      <c r="UCQ1365" s="76"/>
      <c r="UCR1365" s="76"/>
      <c r="UCS1365" s="76"/>
      <c r="UCT1365" s="76"/>
      <c r="UCU1365" s="76"/>
      <c r="UCV1365" s="76"/>
      <c r="UCW1365" s="76"/>
      <c r="UCX1365" s="76"/>
      <c r="UCY1365" s="76"/>
      <c r="UCZ1365" s="76"/>
      <c r="UDA1365" s="76"/>
      <c r="UDB1365" s="76"/>
      <c r="UDC1365" s="76"/>
      <c r="UDD1365" s="76"/>
      <c r="UDE1365" s="76"/>
      <c r="UDF1365" s="76"/>
      <c r="UDG1365" s="76"/>
      <c r="UDH1365" s="76"/>
      <c r="UDI1365" s="76"/>
      <c r="UDJ1365" s="76"/>
      <c r="UDK1365" s="76"/>
      <c r="UDL1365" s="76"/>
      <c r="UDM1365" s="76"/>
      <c r="UDN1365" s="76"/>
      <c r="UDO1365" s="76"/>
      <c r="UDP1365" s="76"/>
      <c r="UDQ1365" s="76"/>
      <c r="UDR1365" s="76"/>
      <c r="UDS1365" s="76"/>
      <c r="UDT1365" s="76"/>
      <c r="UDU1365" s="76"/>
      <c r="UDV1365" s="76"/>
      <c r="UDW1365" s="76"/>
      <c r="UDX1365" s="76"/>
      <c r="UDY1365" s="76"/>
      <c r="UDZ1365" s="76"/>
      <c r="UEA1365" s="76"/>
      <c r="UEB1365" s="76"/>
      <c r="UEC1365" s="76"/>
      <c r="UED1365" s="76"/>
      <c r="UEE1365" s="76"/>
      <c r="UEF1365" s="76"/>
      <c r="UEG1365" s="76"/>
      <c r="UEH1365" s="76"/>
      <c r="UEI1365" s="76"/>
      <c r="UEJ1365" s="76"/>
      <c r="UEK1365" s="76"/>
      <c r="UEL1365" s="76"/>
      <c r="UEM1365" s="76"/>
      <c r="UEN1365" s="76"/>
      <c r="UEO1365" s="50"/>
      <c r="UEP1365" s="76"/>
      <c r="UEQ1365" s="76"/>
      <c r="UER1365" s="76"/>
      <c r="UES1365" s="76"/>
      <c r="UET1365" s="76"/>
      <c r="UEU1365" s="76"/>
      <c r="UEV1365" s="76"/>
      <c r="UEW1365" s="76"/>
      <c r="UEX1365" s="76"/>
      <c r="UEY1365" s="76"/>
      <c r="UEZ1365" s="76"/>
      <c r="UFA1365" s="76"/>
      <c r="UFB1365" s="76"/>
      <c r="UFC1365" s="76"/>
      <c r="UFD1365" s="76"/>
      <c r="UFE1365" s="76"/>
      <c r="UFF1365" s="76"/>
      <c r="UFG1365" s="76"/>
      <c r="UFH1365" s="76"/>
      <c r="UFI1365" s="76"/>
      <c r="UFJ1365" s="76"/>
      <c r="UFK1365" s="76"/>
      <c r="UFL1365" s="76"/>
      <c r="UFM1365" s="76"/>
      <c r="UFN1365" s="76"/>
      <c r="UFO1365" s="76"/>
      <c r="UFP1365" s="76"/>
      <c r="UFQ1365" s="76"/>
      <c r="UFR1365" s="76"/>
      <c r="UFS1365" s="76"/>
      <c r="UFT1365" s="76"/>
      <c r="UFU1365" s="76"/>
      <c r="UFV1365" s="76"/>
      <c r="UFW1365" s="76"/>
      <c r="UFX1365" s="76"/>
      <c r="UFY1365" s="76"/>
      <c r="UFZ1365" s="76"/>
      <c r="UGA1365" s="76"/>
      <c r="UGB1365" s="76"/>
      <c r="UGC1365" s="76"/>
      <c r="UGD1365" s="76"/>
      <c r="UGE1365" s="76"/>
      <c r="UGF1365" s="76"/>
      <c r="UGG1365" s="76"/>
      <c r="UGH1365" s="76"/>
      <c r="UGI1365" s="76"/>
      <c r="UGJ1365" s="76"/>
      <c r="UGK1365" s="76"/>
      <c r="UGL1365" s="76"/>
      <c r="UGM1365" s="76"/>
      <c r="UGN1365" s="76"/>
      <c r="UGO1365" s="76"/>
      <c r="UGP1365" s="76"/>
      <c r="UGQ1365" s="76"/>
      <c r="UGR1365" s="76"/>
      <c r="UGS1365" s="76"/>
      <c r="UGT1365" s="76"/>
      <c r="UGU1365" s="76"/>
      <c r="UGV1365" s="76"/>
      <c r="UGW1365" s="76"/>
      <c r="UGX1365" s="76"/>
      <c r="UGY1365" s="76"/>
      <c r="UGZ1365" s="76"/>
      <c r="UHA1365" s="76"/>
      <c r="UHB1365" s="76"/>
      <c r="UHC1365" s="76"/>
      <c r="UHD1365" s="76"/>
      <c r="UHE1365" s="76"/>
      <c r="UHF1365" s="76"/>
      <c r="UHG1365" s="76"/>
      <c r="UHH1365" s="76"/>
      <c r="UHI1365" s="76"/>
      <c r="UHJ1365" s="76"/>
      <c r="UHK1365" s="76"/>
      <c r="UHL1365" s="76"/>
      <c r="UHM1365" s="76"/>
      <c r="UHN1365" s="76"/>
      <c r="UHO1365" s="76"/>
      <c r="UHP1365" s="76"/>
      <c r="UHQ1365" s="76"/>
      <c r="UHR1365" s="76"/>
      <c r="UHS1365" s="76"/>
      <c r="UHT1365" s="76"/>
      <c r="UHU1365" s="76"/>
      <c r="UHV1365" s="76"/>
      <c r="UHW1365" s="76"/>
      <c r="UHX1365" s="76"/>
      <c r="UHY1365" s="76"/>
      <c r="UHZ1365" s="76"/>
      <c r="UIA1365" s="76"/>
      <c r="UIB1365" s="76"/>
      <c r="UIC1365" s="76"/>
      <c r="UID1365" s="76"/>
      <c r="UIE1365" s="76"/>
      <c r="UIF1365" s="76"/>
      <c r="UIG1365" s="76"/>
      <c r="UIH1365" s="76"/>
      <c r="UII1365" s="76"/>
      <c r="UIJ1365" s="76"/>
      <c r="UIK1365" s="76"/>
      <c r="UIL1365" s="76"/>
      <c r="UIM1365" s="76"/>
      <c r="UIN1365" s="76"/>
      <c r="UIO1365" s="76"/>
      <c r="UIP1365" s="76"/>
      <c r="UIQ1365" s="76"/>
      <c r="UIR1365" s="76"/>
      <c r="UIS1365" s="76"/>
      <c r="UIT1365" s="76"/>
      <c r="UIU1365" s="76"/>
      <c r="UIV1365" s="76"/>
      <c r="UIW1365" s="76"/>
      <c r="UIX1365" s="76"/>
      <c r="UIY1365" s="76"/>
      <c r="UIZ1365" s="76"/>
      <c r="UJA1365" s="76"/>
      <c r="UJB1365" s="76"/>
      <c r="UJC1365" s="76"/>
      <c r="UJD1365" s="76"/>
      <c r="UJE1365" s="76"/>
      <c r="UJF1365" s="76"/>
      <c r="UJG1365" s="76"/>
      <c r="UJH1365" s="76"/>
      <c r="UJI1365" s="76"/>
      <c r="UJJ1365" s="76"/>
      <c r="UJK1365" s="76"/>
      <c r="UJL1365" s="76"/>
      <c r="UJM1365" s="76"/>
      <c r="UJN1365" s="76"/>
      <c r="UJO1365" s="76"/>
      <c r="UJP1365" s="76"/>
      <c r="UJQ1365" s="76"/>
      <c r="UJR1365" s="76"/>
      <c r="UJS1365" s="76"/>
      <c r="UJT1365" s="76"/>
      <c r="UJU1365" s="76"/>
      <c r="UJV1365" s="76"/>
      <c r="UJW1365" s="76"/>
      <c r="UJX1365" s="76"/>
      <c r="UJY1365" s="76"/>
      <c r="UJZ1365" s="76"/>
      <c r="UKA1365" s="76"/>
      <c r="UKB1365" s="76"/>
      <c r="UKC1365" s="76"/>
      <c r="UKD1365" s="76"/>
      <c r="UKE1365" s="76"/>
      <c r="UKF1365" s="76"/>
      <c r="UKG1365" s="76"/>
      <c r="UKH1365" s="76"/>
      <c r="UKI1365" s="76"/>
      <c r="UKJ1365" s="76"/>
      <c r="UKK1365" s="76"/>
      <c r="UKL1365" s="76"/>
      <c r="UKM1365" s="76"/>
      <c r="UKN1365" s="76"/>
      <c r="UKO1365" s="76"/>
      <c r="UKP1365" s="76"/>
      <c r="UKQ1365" s="76"/>
      <c r="UKR1365" s="76"/>
      <c r="UKS1365" s="76"/>
      <c r="UKT1365" s="76"/>
      <c r="UKU1365" s="76"/>
      <c r="UKV1365" s="76"/>
      <c r="UKW1365" s="76"/>
      <c r="UKX1365" s="76"/>
      <c r="UKY1365" s="76"/>
      <c r="UKZ1365" s="76"/>
      <c r="ULA1365" s="76"/>
      <c r="ULB1365" s="76"/>
      <c r="ULC1365" s="76"/>
      <c r="ULD1365" s="76"/>
      <c r="ULE1365" s="76"/>
      <c r="ULF1365" s="76"/>
      <c r="ULG1365" s="76"/>
      <c r="ULH1365" s="76"/>
      <c r="ULI1365" s="76"/>
      <c r="ULJ1365" s="76"/>
      <c r="ULK1365" s="76"/>
      <c r="ULL1365" s="76"/>
      <c r="ULM1365" s="76"/>
      <c r="ULN1365" s="76"/>
      <c r="ULO1365" s="76"/>
      <c r="ULP1365" s="76"/>
      <c r="ULQ1365" s="76"/>
      <c r="ULR1365" s="76"/>
      <c r="ULS1365" s="76"/>
      <c r="ULT1365" s="76"/>
      <c r="ULU1365" s="76"/>
      <c r="ULV1365" s="76"/>
      <c r="ULW1365" s="76"/>
      <c r="ULX1365" s="76"/>
      <c r="ULY1365" s="76"/>
      <c r="ULZ1365" s="76"/>
      <c r="UMA1365" s="76"/>
      <c r="UMB1365" s="76"/>
      <c r="UMC1365" s="76"/>
      <c r="UMD1365" s="76"/>
      <c r="UME1365" s="76"/>
      <c r="UMF1365" s="76"/>
      <c r="UMG1365" s="76"/>
      <c r="UMH1365" s="76"/>
      <c r="UMI1365" s="76"/>
      <c r="UMJ1365" s="76"/>
      <c r="UMK1365" s="76"/>
      <c r="UML1365" s="76"/>
      <c r="UMM1365" s="76"/>
      <c r="UMN1365" s="76"/>
      <c r="UMO1365" s="76"/>
      <c r="UMP1365" s="76"/>
      <c r="UMQ1365" s="76"/>
      <c r="UMR1365" s="76"/>
      <c r="UMS1365" s="76"/>
      <c r="UMT1365" s="76"/>
      <c r="UMU1365" s="76"/>
      <c r="UMV1365" s="76"/>
      <c r="UMW1365" s="76"/>
      <c r="UMX1365" s="76"/>
      <c r="UMY1365" s="76"/>
      <c r="UMZ1365" s="76"/>
      <c r="UNA1365" s="76"/>
      <c r="UNB1365" s="76"/>
      <c r="UNC1365" s="76"/>
      <c r="UND1365" s="76"/>
      <c r="UNE1365" s="76"/>
      <c r="UNF1365" s="76"/>
      <c r="UNG1365" s="76"/>
      <c r="UNH1365" s="76"/>
      <c r="UNI1365" s="76"/>
      <c r="UNJ1365" s="76"/>
      <c r="UNK1365" s="76"/>
      <c r="UNL1365" s="76"/>
      <c r="UNM1365" s="76"/>
      <c r="UNN1365" s="76"/>
      <c r="UNO1365" s="76"/>
      <c r="UNP1365" s="76"/>
      <c r="UNQ1365" s="76"/>
      <c r="UNR1365" s="76"/>
      <c r="UNS1365" s="76"/>
      <c r="UNT1365" s="76"/>
      <c r="UNU1365" s="76"/>
      <c r="UNV1365" s="76"/>
      <c r="UNW1365" s="76"/>
      <c r="UNX1365" s="76"/>
      <c r="UNY1365" s="76"/>
      <c r="UNZ1365" s="76"/>
      <c r="UOA1365" s="76"/>
      <c r="UOB1365" s="76"/>
      <c r="UOC1365" s="76"/>
      <c r="UOD1365" s="76"/>
      <c r="UOE1365" s="76"/>
      <c r="UOF1365" s="76"/>
      <c r="UOG1365" s="76"/>
      <c r="UOH1365" s="76"/>
      <c r="UOI1365" s="76"/>
      <c r="UOJ1365" s="76"/>
      <c r="UOK1365" s="50"/>
      <c r="UOL1365" s="76"/>
      <c r="UOM1365" s="76"/>
      <c r="UON1365" s="76"/>
      <c r="UOO1365" s="76"/>
      <c r="UOP1365" s="76"/>
      <c r="UOQ1365" s="76"/>
      <c r="UOR1365" s="76"/>
      <c r="UOS1365" s="76"/>
      <c r="UOT1365" s="76"/>
      <c r="UOU1365" s="76"/>
      <c r="UOV1365" s="76"/>
      <c r="UOW1365" s="76"/>
      <c r="UOX1365" s="76"/>
      <c r="UOY1365" s="76"/>
      <c r="UOZ1365" s="76"/>
      <c r="UPA1365" s="76"/>
      <c r="UPB1365" s="76"/>
      <c r="UPC1365" s="76"/>
      <c r="UPD1365" s="76"/>
      <c r="UPE1365" s="76"/>
      <c r="UPF1365" s="76"/>
      <c r="UPG1365" s="76"/>
      <c r="UPH1365" s="76"/>
      <c r="UPI1365" s="76"/>
      <c r="UPJ1365" s="76"/>
      <c r="UPK1365" s="76"/>
      <c r="UPL1365" s="76"/>
      <c r="UPM1365" s="76"/>
      <c r="UPN1365" s="76"/>
      <c r="UPO1365" s="76"/>
      <c r="UPP1365" s="76"/>
      <c r="UPQ1365" s="76"/>
      <c r="UPR1365" s="76"/>
      <c r="UPS1365" s="76"/>
      <c r="UPT1365" s="76"/>
      <c r="UPU1365" s="76"/>
      <c r="UPV1365" s="76"/>
      <c r="UPW1365" s="76"/>
      <c r="UPX1365" s="76"/>
      <c r="UPY1365" s="76"/>
      <c r="UPZ1365" s="76"/>
      <c r="UQA1365" s="76"/>
      <c r="UQB1365" s="76"/>
      <c r="UQC1365" s="76"/>
      <c r="UQD1365" s="76"/>
      <c r="UQE1365" s="76"/>
      <c r="UQF1365" s="76"/>
      <c r="UQG1365" s="76"/>
      <c r="UQH1365" s="76"/>
      <c r="UQI1365" s="76"/>
      <c r="UQJ1365" s="76"/>
      <c r="UQK1365" s="76"/>
      <c r="UQL1365" s="76"/>
      <c r="UQM1365" s="76"/>
      <c r="UQN1365" s="76"/>
      <c r="UQO1365" s="76"/>
      <c r="UQP1365" s="76"/>
      <c r="UQQ1365" s="76"/>
      <c r="UQR1365" s="76"/>
      <c r="UQS1365" s="76"/>
      <c r="UQT1365" s="76"/>
      <c r="UQU1365" s="76"/>
      <c r="UQV1365" s="76"/>
      <c r="UQW1365" s="76"/>
      <c r="UQX1365" s="76"/>
      <c r="UQY1365" s="76"/>
      <c r="UQZ1365" s="76"/>
      <c r="URA1365" s="76"/>
      <c r="URB1365" s="76"/>
      <c r="URC1365" s="76"/>
      <c r="URD1365" s="76"/>
      <c r="URE1365" s="76"/>
      <c r="URF1365" s="76"/>
      <c r="URG1365" s="76"/>
      <c r="URH1365" s="76"/>
      <c r="URI1365" s="76"/>
      <c r="URJ1365" s="76"/>
      <c r="URK1365" s="76"/>
      <c r="URL1365" s="76"/>
      <c r="URM1365" s="76"/>
      <c r="URN1365" s="76"/>
      <c r="URO1365" s="76"/>
      <c r="URP1365" s="76"/>
      <c r="URQ1365" s="76"/>
      <c r="URR1365" s="76"/>
      <c r="URS1365" s="76"/>
      <c r="URT1365" s="76"/>
      <c r="URU1365" s="76"/>
      <c r="URV1365" s="76"/>
      <c r="URW1365" s="76"/>
      <c r="URX1365" s="76"/>
      <c r="URY1365" s="76"/>
      <c r="URZ1365" s="76"/>
      <c r="USA1365" s="76"/>
      <c r="USB1365" s="76"/>
      <c r="USC1365" s="76"/>
      <c r="USD1365" s="76"/>
      <c r="USE1365" s="76"/>
      <c r="USF1365" s="76"/>
      <c r="USG1365" s="76"/>
      <c r="USH1365" s="76"/>
      <c r="USI1365" s="76"/>
      <c r="USJ1365" s="76"/>
      <c r="USK1365" s="76"/>
      <c r="USL1365" s="76"/>
      <c r="USM1365" s="76"/>
      <c r="USN1365" s="76"/>
      <c r="USO1365" s="76"/>
      <c r="USP1365" s="76"/>
      <c r="USQ1365" s="76"/>
      <c r="USR1365" s="76"/>
      <c r="USS1365" s="76"/>
      <c r="UST1365" s="76"/>
      <c r="USU1365" s="76"/>
      <c r="USV1365" s="76"/>
      <c r="USW1365" s="76"/>
      <c r="USX1365" s="76"/>
      <c r="USY1365" s="76"/>
      <c r="USZ1365" s="76"/>
      <c r="UTA1365" s="76"/>
      <c r="UTB1365" s="76"/>
      <c r="UTC1365" s="76"/>
      <c r="UTD1365" s="76"/>
      <c r="UTE1365" s="76"/>
      <c r="UTF1365" s="76"/>
      <c r="UTG1365" s="76"/>
      <c r="UTH1365" s="76"/>
      <c r="UTI1365" s="76"/>
      <c r="UTJ1365" s="76"/>
      <c r="UTK1365" s="76"/>
      <c r="UTL1365" s="76"/>
      <c r="UTM1365" s="76"/>
      <c r="UTN1365" s="76"/>
      <c r="UTO1365" s="76"/>
      <c r="UTP1365" s="76"/>
      <c r="UTQ1365" s="76"/>
      <c r="UTR1365" s="76"/>
      <c r="UTS1365" s="76"/>
      <c r="UTT1365" s="76"/>
      <c r="UTU1365" s="76"/>
      <c r="UTV1365" s="76"/>
      <c r="UTW1365" s="76"/>
      <c r="UTX1365" s="76"/>
      <c r="UTY1365" s="76"/>
      <c r="UTZ1365" s="76"/>
      <c r="UUA1365" s="76"/>
      <c r="UUB1365" s="76"/>
      <c r="UUC1365" s="76"/>
      <c r="UUD1365" s="76"/>
      <c r="UUE1365" s="76"/>
      <c r="UUF1365" s="76"/>
      <c r="UUG1365" s="76"/>
      <c r="UUH1365" s="76"/>
      <c r="UUI1365" s="76"/>
      <c r="UUJ1365" s="76"/>
      <c r="UUK1365" s="76"/>
      <c r="UUL1365" s="76"/>
      <c r="UUM1365" s="76"/>
      <c r="UUN1365" s="76"/>
      <c r="UUO1365" s="76"/>
      <c r="UUP1365" s="76"/>
      <c r="UUQ1365" s="76"/>
      <c r="UUR1365" s="76"/>
      <c r="UUS1365" s="76"/>
      <c r="UUT1365" s="76"/>
      <c r="UUU1365" s="76"/>
      <c r="UUV1365" s="76"/>
      <c r="UUW1365" s="76"/>
      <c r="UUX1365" s="76"/>
      <c r="UUY1365" s="76"/>
      <c r="UUZ1365" s="76"/>
      <c r="UVA1365" s="76"/>
      <c r="UVB1365" s="76"/>
      <c r="UVC1365" s="76"/>
      <c r="UVD1365" s="76"/>
      <c r="UVE1365" s="76"/>
      <c r="UVF1365" s="76"/>
      <c r="UVG1365" s="76"/>
      <c r="UVH1365" s="76"/>
      <c r="UVI1365" s="76"/>
      <c r="UVJ1365" s="76"/>
      <c r="UVK1365" s="76"/>
      <c r="UVL1365" s="76"/>
      <c r="UVM1365" s="76"/>
      <c r="UVN1365" s="76"/>
      <c r="UVO1365" s="76"/>
      <c r="UVP1365" s="76"/>
      <c r="UVQ1365" s="76"/>
      <c r="UVR1365" s="76"/>
      <c r="UVS1365" s="76"/>
      <c r="UVT1365" s="76"/>
      <c r="UVU1365" s="76"/>
      <c r="UVV1365" s="76"/>
      <c r="UVW1365" s="76"/>
      <c r="UVX1365" s="76"/>
      <c r="UVY1365" s="76"/>
      <c r="UVZ1365" s="76"/>
      <c r="UWA1365" s="76"/>
      <c r="UWB1365" s="76"/>
      <c r="UWC1365" s="76"/>
      <c r="UWD1365" s="76"/>
      <c r="UWE1365" s="76"/>
      <c r="UWF1365" s="76"/>
      <c r="UWG1365" s="76"/>
      <c r="UWH1365" s="76"/>
      <c r="UWI1365" s="76"/>
      <c r="UWJ1365" s="76"/>
      <c r="UWK1365" s="76"/>
      <c r="UWL1365" s="76"/>
      <c r="UWM1365" s="76"/>
      <c r="UWN1365" s="76"/>
      <c r="UWO1365" s="76"/>
      <c r="UWP1365" s="76"/>
      <c r="UWQ1365" s="76"/>
      <c r="UWR1365" s="76"/>
      <c r="UWS1365" s="76"/>
      <c r="UWT1365" s="76"/>
      <c r="UWU1365" s="76"/>
      <c r="UWV1365" s="76"/>
      <c r="UWW1365" s="76"/>
      <c r="UWX1365" s="76"/>
      <c r="UWY1365" s="76"/>
      <c r="UWZ1365" s="76"/>
      <c r="UXA1365" s="76"/>
      <c r="UXB1365" s="76"/>
      <c r="UXC1365" s="76"/>
      <c r="UXD1365" s="76"/>
      <c r="UXE1365" s="76"/>
      <c r="UXF1365" s="76"/>
      <c r="UXG1365" s="76"/>
      <c r="UXH1365" s="76"/>
      <c r="UXI1365" s="76"/>
      <c r="UXJ1365" s="76"/>
      <c r="UXK1365" s="76"/>
      <c r="UXL1365" s="76"/>
      <c r="UXM1365" s="76"/>
      <c r="UXN1365" s="76"/>
      <c r="UXO1365" s="76"/>
      <c r="UXP1365" s="76"/>
      <c r="UXQ1365" s="76"/>
      <c r="UXR1365" s="76"/>
      <c r="UXS1365" s="76"/>
      <c r="UXT1365" s="76"/>
      <c r="UXU1365" s="76"/>
      <c r="UXV1365" s="76"/>
      <c r="UXW1365" s="76"/>
      <c r="UXX1365" s="76"/>
      <c r="UXY1365" s="76"/>
      <c r="UXZ1365" s="76"/>
      <c r="UYA1365" s="76"/>
      <c r="UYB1365" s="76"/>
      <c r="UYC1365" s="76"/>
      <c r="UYD1365" s="76"/>
      <c r="UYE1365" s="76"/>
      <c r="UYF1365" s="76"/>
      <c r="UYG1365" s="50"/>
      <c r="UYH1365" s="76"/>
      <c r="UYI1365" s="76"/>
      <c r="UYJ1365" s="76"/>
      <c r="UYK1365" s="76"/>
      <c r="UYL1365" s="76"/>
      <c r="UYM1365" s="76"/>
      <c r="UYN1365" s="76"/>
      <c r="UYO1365" s="76"/>
      <c r="UYP1365" s="76"/>
      <c r="UYQ1365" s="76"/>
      <c r="UYR1365" s="76"/>
      <c r="UYS1365" s="76"/>
      <c r="UYT1365" s="76"/>
      <c r="UYU1365" s="76"/>
      <c r="UYV1365" s="76"/>
      <c r="UYW1365" s="76"/>
      <c r="UYX1365" s="76"/>
      <c r="UYY1365" s="76"/>
      <c r="UYZ1365" s="76"/>
      <c r="UZA1365" s="76"/>
      <c r="UZB1365" s="76"/>
      <c r="UZC1365" s="76"/>
      <c r="UZD1365" s="76"/>
      <c r="UZE1365" s="76"/>
      <c r="UZF1365" s="76"/>
      <c r="UZG1365" s="76"/>
      <c r="UZH1365" s="76"/>
      <c r="UZI1365" s="76"/>
      <c r="UZJ1365" s="76"/>
      <c r="UZK1365" s="76"/>
      <c r="UZL1365" s="76"/>
      <c r="UZM1365" s="76"/>
      <c r="UZN1365" s="76"/>
      <c r="UZO1365" s="76"/>
      <c r="UZP1365" s="76"/>
      <c r="UZQ1365" s="76"/>
      <c r="UZR1365" s="76"/>
      <c r="UZS1365" s="76"/>
      <c r="UZT1365" s="76"/>
      <c r="UZU1365" s="76"/>
      <c r="UZV1365" s="76"/>
      <c r="UZW1365" s="76"/>
      <c r="UZX1365" s="76"/>
      <c r="UZY1365" s="76"/>
      <c r="UZZ1365" s="76"/>
      <c r="VAA1365" s="76"/>
      <c r="VAB1365" s="76"/>
      <c r="VAC1365" s="76"/>
      <c r="VAD1365" s="76"/>
      <c r="VAE1365" s="76"/>
      <c r="VAF1365" s="76"/>
      <c r="VAG1365" s="76"/>
      <c r="VAH1365" s="76"/>
      <c r="VAI1365" s="76"/>
      <c r="VAJ1365" s="76"/>
      <c r="VAK1365" s="76"/>
      <c r="VAL1365" s="76"/>
      <c r="VAM1365" s="76"/>
      <c r="VAN1365" s="76"/>
      <c r="VAO1365" s="76"/>
      <c r="VAP1365" s="76"/>
      <c r="VAQ1365" s="76"/>
      <c r="VAR1365" s="76"/>
      <c r="VAS1365" s="76"/>
      <c r="VAT1365" s="76"/>
      <c r="VAU1365" s="76"/>
      <c r="VAV1365" s="76"/>
      <c r="VAW1365" s="76"/>
      <c r="VAX1365" s="76"/>
      <c r="VAY1365" s="76"/>
      <c r="VAZ1365" s="76"/>
      <c r="VBA1365" s="76"/>
      <c r="VBB1365" s="76"/>
      <c r="VBC1365" s="76"/>
      <c r="VBD1365" s="76"/>
      <c r="VBE1365" s="76"/>
      <c r="VBF1365" s="76"/>
      <c r="VBG1365" s="76"/>
      <c r="VBH1365" s="76"/>
      <c r="VBI1365" s="76"/>
      <c r="VBJ1365" s="76"/>
      <c r="VBK1365" s="76"/>
      <c r="VBL1365" s="76"/>
      <c r="VBM1365" s="76"/>
      <c r="VBN1365" s="76"/>
      <c r="VBO1365" s="76"/>
      <c r="VBP1365" s="76"/>
      <c r="VBQ1365" s="76"/>
      <c r="VBR1365" s="76"/>
      <c r="VBS1365" s="76"/>
      <c r="VBT1365" s="76"/>
      <c r="VBU1365" s="76"/>
      <c r="VBV1365" s="76"/>
      <c r="VBW1365" s="76"/>
      <c r="VBX1365" s="76"/>
      <c r="VBY1365" s="76"/>
      <c r="VBZ1365" s="76"/>
      <c r="VCA1365" s="76"/>
      <c r="VCB1365" s="76"/>
      <c r="VCC1365" s="76"/>
      <c r="VCD1365" s="76"/>
      <c r="VCE1365" s="76"/>
      <c r="VCF1365" s="76"/>
      <c r="VCG1365" s="76"/>
      <c r="VCH1365" s="76"/>
      <c r="VCI1365" s="76"/>
      <c r="VCJ1365" s="76"/>
      <c r="VCK1365" s="76"/>
      <c r="VCL1365" s="76"/>
      <c r="VCM1365" s="76"/>
      <c r="VCN1365" s="76"/>
      <c r="VCO1365" s="76"/>
      <c r="VCP1365" s="76"/>
      <c r="VCQ1365" s="76"/>
      <c r="VCR1365" s="76"/>
      <c r="VCS1365" s="76"/>
      <c r="VCT1365" s="76"/>
      <c r="VCU1365" s="76"/>
      <c r="VCV1365" s="76"/>
      <c r="VCW1365" s="76"/>
      <c r="VCX1365" s="76"/>
      <c r="VCY1365" s="76"/>
      <c r="VCZ1365" s="76"/>
      <c r="VDA1365" s="76"/>
      <c r="VDB1365" s="76"/>
      <c r="VDC1365" s="76"/>
      <c r="VDD1365" s="76"/>
      <c r="VDE1365" s="76"/>
      <c r="VDF1365" s="76"/>
      <c r="VDG1365" s="76"/>
      <c r="VDH1365" s="76"/>
      <c r="VDI1365" s="76"/>
      <c r="VDJ1365" s="76"/>
      <c r="VDK1365" s="76"/>
      <c r="VDL1365" s="76"/>
      <c r="VDM1365" s="76"/>
      <c r="VDN1365" s="76"/>
      <c r="VDO1365" s="76"/>
      <c r="VDP1365" s="76"/>
      <c r="VDQ1365" s="76"/>
      <c r="VDR1365" s="76"/>
      <c r="VDS1365" s="76"/>
      <c r="VDT1365" s="76"/>
      <c r="VDU1365" s="76"/>
      <c r="VDV1365" s="76"/>
      <c r="VDW1365" s="76"/>
      <c r="VDX1365" s="76"/>
      <c r="VDY1365" s="76"/>
      <c r="VDZ1365" s="76"/>
      <c r="VEA1365" s="76"/>
      <c r="VEB1365" s="76"/>
      <c r="VEC1365" s="76"/>
      <c r="VED1365" s="76"/>
      <c r="VEE1365" s="76"/>
      <c r="VEF1365" s="76"/>
      <c r="VEG1365" s="76"/>
      <c r="VEH1365" s="76"/>
      <c r="VEI1365" s="76"/>
      <c r="VEJ1365" s="76"/>
      <c r="VEK1365" s="76"/>
      <c r="VEL1365" s="76"/>
      <c r="VEM1365" s="76"/>
      <c r="VEN1365" s="76"/>
      <c r="VEO1365" s="76"/>
      <c r="VEP1365" s="76"/>
      <c r="VEQ1365" s="76"/>
      <c r="VER1365" s="76"/>
      <c r="VES1365" s="76"/>
      <c r="VET1365" s="76"/>
      <c r="VEU1365" s="76"/>
      <c r="VEV1365" s="76"/>
      <c r="VEW1365" s="76"/>
      <c r="VEX1365" s="76"/>
      <c r="VEY1365" s="76"/>
      <c r="VEZ1365" s="76"/>
      <c r="VFA1365" s="76"/>
      <c r="VFB1365" s="76"/>
      <c r="VFC1365" s="76"/>
      <c r="VFD1365" s="76"/>
      <c r="VFE1365" s="76"/>
      <c r="VFF1365" s="76"/>
      <c r="VFG1365" s="76"/>
      <c r="VFH1365" s="76"/>
      <c r="VFI1365" s="76"/>
      <c r="VFJ1365" s="76"/>
      <c r="VFK1365" s="76"/>
      <c r="VFL1365" s="76"/>
      <c r="VFM1365" s="76"/>
      <c r="VFN1365" s="76"/>
      <c r="VFO1365" s="76"/>
      <c r="VFP1365" s="76"/>
      <c r="VFQ1365" s="76"/>
      <c r="VFR1365" s="76"/>
      <c r="VFS1365" s="76"/>
      <c r="VFT1365" s="76"/>
      <c r="VFU1365" s="76"/>
      <c r="VFV1365" s="76"/>
      <c r="VFW1365" s="76"/>
      <c r="VFX1365" s="76"/>
      <c r="VFY1365" s="76"/>
      <c r="VFZ1365" s="76"/>
      <c r="VGA1365" s="76"/>
      <c r="VGB1365" s="76"/>
      <c r="VGC1365" s="76"/>
      <c r="VGD1365" s="76"/>
      <c r="VGE1365" s="76"/>
      <c r="VGF1365" s="76"/>
      <c r="VGG1365" s="76"/>
      <c r="VGH1365" s="76"/>
      <c r="VGI1365" s="76"/>
      <c r="VGJ1365" s="76"/>
      <c r="VGK1365" s="76"/>
      <c r="VGL1365" s="76"/>
      <c r="VGM1365" s="76"/>
      <c r="VGN1365" s="76"/>
      <c r="VGO1365" s="76"/>
      <c r="VGP1365" s="76"/>
      <c r="VGQ1365" s="76"/>
      <c r="VGR1365" s="76"/>
      <c r="VGS1365" s="76"/>
      <c r="VGT1365" s="76"/>
      <c r="VGU1365" s="76"/>
      <c r="VGV1365" s="76"/>
      <c r="VGW1365" s="76"/>
      <c r="VGX1365" s="76"/>
      <c r="VGY1365" s="76"/>
      <c r="VGZ1365" s="76"/>
      <c r="VHA1365" s="76"/>
      <c r="VHB1365" s="76"/>
      <c r="VHC1365" s="76"/>
      <c r="VHD1365" s="76"/>
      <c r="VHE1365" s="76"/>
      <c r="VHF1365" s="76"/>
      <c r="VHG1365" s="76"/>
      <c r="VHH1365" s="76"/>
      <c r="VHI1365" s="76"/>
      <c r="VHJ1365" s="76"/>
      <c r="VHK1365" s="76"/>
      <c r="VHL1365" s="76"/>
      <c r="VHM1365" s="76"/>
      <c r="VHN1365" s="76"/>
      <c r="VHO1365" s="76"/>
      <c r="VHP1365" s="76"/>
      <c r="VHQ1365" s="76"/>
      <c r="VHR1365" s="76"/>
      <c r="VHS1365" s="76"/>
      <c r="VHT1365" s="76"/>
      <c r="VHU1365" s="76"/>
      <c r="VHV1365" s="76"/>
      <c r="VHW1365" s="76"/>
      <c r="VHX1365" s="76"/>
      <c r="VHY1365" s="76"/>
      <c r="VHZ1365" s="76"/>
      <c r="VIA1365" s="76"/>
      <c r="VIB1365" s="76"/>
      <c r="VIC1365" s="50"/>
      <c r="VID1365" s="76"/>
      <c r="VIE1365" s="76"/>
      <c r="VIF1365" s="76"/>
      <c r="VIG1365" s="76"/>
      <c r="VIH1365" s="76"/>
      <c r="VII1365" s="76"/>
      <c r="VIJ1365" s="76"/>
      <c r="VIK1365" s="76"/>
      <c r="VIL1365" s="76"/>
      <c r="VIM1365" s="76"/>
      <c r="VIN1365" s="76"/>
      <c r="VIO1365" s="76"/>
      <c r="VIP1365" s="76"/>
      <c r="VIQ1365" s="76"/>
      <c r="VIR1365" s="76"/>
      <c r="VIS1365" s="76"/>
      <c r="VIT1365" s="76"/>
      <c r="VIU1365" s="76"/>
      <c r="VIV1365" s="76"/>
      <c r="VIW1365" s="76"/>
      <c r="VIX1365" s="76"/>
      <c r="VIY1365" s="76"/>
      <c r="VIZ1365" s="76"/>
      <c r="VJA1365" s="76"/>
      <c r="VJB1365" s="76"/>
      <c r="VJC1365" s="76"/>
      <c r="VJD1365" s="76"/>
      <c r="VJE1365" s="76"/>
      <c r="VJF1365" s="76"/>
      <c r="VJG1365" s="76"/>
      <c r="VJH1365" s="76"/>
      <c r="VJI1365" s="76"/>
      <c r="VJJ1365" s="76"/>
      <c r="VJK1365" s="76"/>
      <c r="VJL1365" s="76"/>
      <c r="VJM1365" s="76"/>
      <c r="VJN1365" s="76"/>
      <c r="VJO1365" s="76"/>
      <c r="VJP1365" s="76"/>
      <c r="VJQ1365" s="76"/>
      <c r="VJR1365" s="76"/>
      <c r="VJS1365" s="76"/>
      <c r="VJT1365" s="76"/>
      <c r="VJU1365" s="76"/>
      <c r="VJV1365" s="76"/>
      <c r="VJW1365" s="76"/>
      <c r="VJX1365" s="76"/>
      <c r="VJY1365" s="76"/>
      <c r="VJZ1365" s="76"/>
      <c r="VKA1365" s="76"/>
      <c r="VKB1365" s="76"/>
      <c r="VKC1365" s="76"/>
      <c r="VKD1365" s="76"/>
      <c r="VKE1365" s="76"/>
      <c r="VKF1365" s="76"/>
      <c r="VKG1365" s="76"/>
      <c r="VKH1365" s="76"/>
      <c r="VKI1365" s="76"/>
      <c r="VKJ1365" s="76"/>
      <c r="VKK1365" s="76"/>
      <c r="VKL1365" s="76"/>
      <c r="VKM1365" s="76"/>
      <c r="VKN1365" s="76"/>
      <c r="VKO1365" s="76"/>
      <c r="VKP1365" s="76"/>
      <c r="VKQ1365" s="76"/>
      <c r="VKR1365" s="76"/>
      <c r="VKS1365" s="76"/>
      <c r="VKT1365" s="76"/>
      <c r="VKU1365" s="76"/>
      <c r="VKV1365" s="76"/>
      <c r="VKW1365" s="76"/>
      <c r="VKX1365" s="76"/>
      <c r="VKY1365" s="76"/>
      <c r="VKZ1365" s="76"/>
      <c r="VLA1365" s="76"/>
      <c r="VLB1365" s="76"/>
      <c r="VLC1365" s="76"/>
      <c r="VLD1365" s="76"/>
      <c r="VLE1365" s="76"/>
      <c r="VLF1365" s="76"/>
      <c r="VLG1365" s="76"/>
      <c r="VLH1365" s="76"/>
      <c r="VLI1365" s="76"/>
      <c r="VLJ1365" s="76"/>
      <c r="VLK1365" s="76"/>
      <c r="VLL1365" s="76"/>
      <c r="VLM1365" s="76"/>
      <c r="VLN1365" s="76"/>
      <c r="VLO1365" s="76"/>
      <c r="VLP1365" s="76"/>
      <c r="VLQ1365" s="76"/>
      <c r="VLR1365" s="76"/>
      <c r="VLS1365" s="76"/>
      <c r="VLT1365" s="76"/>
      <c r="VLU1365" s="76"/>
      <c r="VLV1365" s="76"/>
      <c r="VLW1365" s="76"/>
      <c r="VLX1365" s="76"/>
      <c r="VLY1365" s="76"/>
      <c r="VLZ1365" s="76"/>
      <c r="VMA1365" s="76"/>
      <c r="VMB1365" s="76"/>
      <c r="VMC1365" s="76"/>
      <c r="VMD1365" s="76"/>
      <c r="VME1365" s="76"/>
      <c r="VMF1365" s="76"/>
      <c r="VMG1365" s="76"/>
      <c r="VMH1365" s="76"/>
      <c r="VMI1365" s="76"/>
      <c r="VMJ1365" s="76"/>
      <c r="VMK1365" s="76"/>
      <c r="VML1365" s="76"/>
      <c r="VMM1365" s="76"/>
      <c r="VMN1365" s="76"/>
      <c r="VMO1365" s="76"/>
      <c r="VMP1365" s="76"/>
      <c r="VMQ1365" s="76"/>
      <c r="VMR1365" s="76"/>
      <c r="VMS1365" s="76"/>
      <c r="VMT1365" s="76"/>
      <c r="VMU1365" s="76"/>
      <c r="VMV1365" s="76"/>
      <c r="VMW1365" s="76"/>
      <c r="VMX1365" s="76"/>
      <c r="VMY1365" s="76"/>
      <c r="VMZ1365" s="76"/>
      <c r="VNA1365" s="76"/>
      <c r="VNB1365" s="76"/>
      <c r="VNC1365" s="76"/>
      <c r="VND1365" s="76"/>
      <c r="VNE1365" s="76"/>
      <c r="VNF1365" s="76"/>
      <c r="VNG1365" s="76"/>
      <c r="VNH1365" s="76"/>
      <c r="VNI1365" s="76"/>
      <c r="VNJ1365" s="76"/>
      <c r="VNK1365" s="76"/>
      <c r="VNL1365" s="76"/>
      <c r="VNM1365" s="76"/>
      <c r="VNN1365" s="76"/>
      <c r="VNO1365" s="76"/>
      <c r="VNP1365" s="76"/>
      <c r="VNQ1365" s="76"/>
      <c r="VNR1365" s="76"/>
      <c r="VNS1365" s="76"/>
      <c r="VNT1365" s="76"/>
      <c r="VNU1365" s="76"/>
      <c r="VNV1365" s="76"/>
      <c r="VNW1365" s="76"/>
      <c r="VNX1365" s="76"/>
      <c r="VNY1365" s="76"/>
      <c r="VNZ1365" s="76"/>
      <c r="VOA1365" s="76"/>
      <c r="VOB1365" s="76"/>
      <c r="VOC1365" s="76"/>
      <c r="VOD1365" s="76"/>
      <c r="VOE1365" s="76"/>
      <c r="VOF1365" s="76"/>
      <c r="VOG1365" s="76"/>
      <c r="VOH1365" s="76"/>
      <c r="VOI1365" s="76"/>
      <c r="VOJ1365" s="76"/>
      <c r="VOK1365" s="76"/>
      <c r="VOL1365" s="76"/>
      <c r="VOM1365" s="76"/>
      <c r="VON1365" s="76"/>
      <c r="VOO1365" s="76"/>
      <c r="VOP1365" s="76"/>
      <c r="VOQ1365" s="76"/>
      <c r="VOR1365" s="76"/>
      <c r="VOS1365" s="76"/>
      <c r="VOT1365" s="76"/>
      <c r="VOU1365" s="76"/>
      <c r="VOV1365" s="76"/>
      <c r="VOW1365" s="76"/>
      <c r="VOX1365" s="76"/>
      <c r="VOY1365" s="76"/>
      <c r="VOZ1365" s="76"/>
      <c r="VPA1365" s="76"/>
      <c r="VPB1365" s="76"/>
      <c r="VPC1365" s="76"/>
      <c r="VPD1365" s="76"/>
      <c r="VPE1365" s="76"/>
      <c r="VPF1365" s="76"/>
      <c r="VPG1365" s="76"/>
      <c r="VPH1365" s="76"/>
      <c r="VPI1365" s="76"/>
      <c r="VPJ1365" s="76"/>
      <c r="VPK1365" s="76"/>
      <c r="VPL1365" s="76"/>
      <c r="VPM1365" s="76"/>
      <c r="VPN1365" s="76"/>
      <c r="VPO1365" s="76"/>
      <c r="VPP1365" s="76"/>
      <c r="VPQ1365" s="76"/>
      <c r="VPR1365" s="76"/>
      <c r="VPS1365" s="76"/>
      <c r="VPT1365" s="76"/>
      <c r="VPU1365" s="76"/>
      <c r="VPV1365" s="76"/>
      <c r="VPW1365" s="76"/>
      <c r="VPX1365" s="76"/>
      <c r="VPY1365" s="76"/>
      <c r="VPZ1365" s="76"/>
      <c r="VQA1365" s="76"/>
      <c r="VQB1365" s="76"/>
      <c r="VQC1365" s="76"/>
      <c r="VQD1365" s="76"/>
      <c r="VQE1365" s="76"/>
      <c r="VQF1365" s="76"/>
      <c r="VQG1365" s="76"/>
      <c r="VQH1365" s="76"/>
      <c r="VQI1365" s="76"/>
      <c r="VQJ1365" s="76"/>
      <c r="VQK1365" s="76"/>
      <c r="VQL1365" s="76"/>
      <c r="VQM1365" s="76"/>
      <c r="VQN1365" s="76"/>
      <c r="VQO1365" s="76"/>
      <c r="VQP1365" s="76"/>
      <c r="VQQ1365" s="76"/>
      <c r="VQR1365" s="76"/>
      <c r="VQS1365" s="76"/>
      <c r="VQT1365" s="76"/>
      <c r="VQU1365" s="76"/>
      <c r="VQV1365" s="76"/>
      <c r="VQW1365" s="76"/>
      <c r="VQX1365" s="76"/>
      <c r="VQY1365" s="76"/>
      <c r="VQZ1365" s="76"/>
      <c r="VRA1365" s="76"/>
      <c r="VRB1365" s="76"/>
      <c r="VRC1365" s="76"/>
      <c r="VRD1365" s="76"/>
      <c r="VRE1365" s="76"/>
      <c r="VRF1365" s="76"/>
      <c r="VRG1365" s="76"/>
      <c r="VRH1365" s="76"/>
      <c r="VRI1365" s="76"/>
      <c r="VRJ1365" s="76"/>
      <c r="VRK1365" s="76"/>
      <c r="VRL1365" s="76"/>
      <c r="VRM1365" s="76"/>
      <c r="VRN1365" s="76"/>
      <c r="VRO1365" s="76"/>
      <c r="VRP1365" s="76"/>
      <c r="VRQ1365" s="76"/>
      <c r="VRR1365" s="76"/>
      <c r="VRS1365" s="76"/>
      <c r="VRT1365" s="76"/>
      <c r="VRU1365" s="76"/>
      <c r="VRV1365" s="76"/>
      <c r="VRW1365" s="76"/>
      <c r="VRX1365" s="76"/>
      <c r="VRY1365" s="50"/>
      <c r="VRZ1365" s="76"/>
      <c r="VSA1365" s="76"/>
      <c r="VSB1365" s="76"/>
      <c r="VSC1365" s="76"/>
      <c r="VSD1365" s="76"/>
      <c r="VSE1365" s="76"/>
      <c r="VSF1365" s="76"/>
      <c r="VSG1365" s="76"/>
      <c r="VSH1365" s="76"/>
      <c r="VSI1365" s="76"/>
      <c r="VSJ1365" s="76"/>
      <c r="VSK1365" s="76"/>
      <c r="VSL1365" s="76"/>
      <c r="VSM1365" s="76"/>
      <c r="VSN1365" s="76"/>
      <c r="VSO1365" s="76"/>
      <c r="VSP1365" s="76"/>
      <c r="VSQ1365" s="76"/>
      <c r="VSR1365" s="76"/>
      <c r="VSS1365" s="76"/>
      <c r="VST1365" s="76"/>
      <c r="VSU1365" s="76"/>
      <c r="VSV1365" s="76"/>
      <c r="VSW1365" s="76"/>
      <c r="VSX1365" s="76"/>
      <c r="VSY1365" s="76"/>
      <c r="VSZ1365" s="76"/>
      <c r="VTA1365" s="76"/>
      <c r="VTB1365" s="76"/>
      <c r="VTC1365" s="76"/>
      <c r="VTD1365" s="76"/>
      <c r="VTE1365" s="76"/>
      <c r="VTF1365" s="76"/>
      <c r="VTG1365" s="76"/>
      <c r="VTH1365" s="76"/>
      <c r="VTI1365" s="76"/>
      <c r="VTJ1365" s="76"/>
      <c r="VTK1365" s="76"/>
      <c r="VTL1365" s="76"/>
      <c r="VTM1365" s="76"/>
      <c r="VTN1365" s="76"/>
      <c r="VTO1365" s="76"/>
      <c r="VTP1365" s="76"/>
      <c r="VTQ1365" s="76"/>
      <c r="VTR1365" s="76"/>
      <c r="VTS1365" s="76"/>
      <c r="VTT1365" s="76"/>
      <c r="VTU1365" s="76"/>
      <c r="VTV1365" s="76"/>
      <c r="VTW1365" s="76"/>
      <c r="VTX1365" s="76"/>
      <c r="VTY1365" s="76"/>
      <c r="VTZ1365" s="76"/>
      <c r="VUA1365" s="76"/>
      <c r="VUB1365" s="76"/>
      <c r="VUC1365" s="76"/>
      <c r="VUD1365" s="76"/>
      <c r="VUE1365" s="76"/>
      <c r="VUF1365" s="76"/>
      <c r="VUG1365" s="76"/>
      <c r="VUH1365" s="76"/>
      <c r="VUI1365" s="76"/>
      <c r="VUJ1365" s="76"/>
      <c r="VUK1365" s="76"/>
      <c r="VUL1365" s="76"/>
      <c r="VUM1365" s="76"/>
      <c r="VUN1365" s="76"/>
      <c r="VUO1365" s="76"/>
      <c r="VUP1365" s="76"/>
      <c r="VUQ1365" s="76"/>
      <c r="VUR1365" s="76"/>
      <c r="VUS1365" s="76"/>
      <c r="VUT1365" s="76"/>
      <c r="VUU1365" s="76"/>
      <c r="VUV1365" s="76"/>
      <c r="VUW1365" s="76"/>
      <c r="VUX1365" s="76"/>
      <c r="VUY1365" s="76"/>
      <c r="VUZ1365" s="76"/>
      <c r="VVA1365" s="76"/>
      <c r="VVB1365" s="76"/>
      <c r="VVC1365" s="76"/>
      <c r="VVD1365" s="76"/>
      <c r="VVE1365" s="76"/>
      <c r="VVF1365" s="76"/>
      <c r="VVG1365" s="76"/>
      <c r="VVH1365" s="76"/>
      <c r="VVI1365" s="76"/>
      <c r="VVJ1365" s="76"/>
      <c r="VVK1365" s="76"/>
      <c r="VVL1365" s="76"/>
      <c r="VVM1365" s="76"/>
      <c r="VVN1365" s="76"/>
      <c r="VVO1365" s="76"/>
      <c r="VVP1365" s="76"/>
      <c r="VVQ1365" s="76"/>
      <c r="VVR1365" s="76"/>
      <c r="VVS1365" s="76"/>
      <c r="VVT1365" s="76"/>
      <c r="VVU1365" s="76"/>
      <c r="VVV1365" s="76"/>
      <c r="VVW1365" s="76"/>
      <c r="VVX1365" s="76"/>
      <c r="VVY1365" s="76"/>
      <c r="VVZ1365" s="76"/>
      <c r="VWA1365" s="76"/>
      <c r="VWB1365" s="76"/>
      <c r="VWC1365" s="76"/>
      <c r="VWD1365" s="76"/>
      <c r="VWE1365" s="76"/>
      <c r="VWF1365" s="76"/>
      <c r="VWG1365" s="76"/>
      <c r="VWH1365" s="76"/>
      <c r="VWI1365" s="76"/>
      <c r="VWJ1365" s="76"/>
      <c r="VWK1365" s="76"/>
      <c r="VWL1365" s="76"/>
      <c r="VWM1365" s="76"/>
      <c r="VWN1365" s="76"/>
      <c r="VWO1365" s="76"/>
      <c r="VWP1365" s="76"/>
      <c r="VWQ1365" s="76"/>
      <c r="VWR1365" s="76"/>
      <c r="VWS1365" s="76"/>
      <c r="VWT1365" s="76"/>
      <c r="VWU1365" s="76"/>
      <c r="VWV1365" s="76"/>
      <c r="VWW1365" s="76"/>
      <c r="VWX1365" s="76"/>
      <c r="VWY1365" s="76"/>
      <c r="VWZ1365" s="76"/>
      <c r="VXA1365" s="76"/>
      <c r="VXB1365" s="76"/>
      <c r="VXC1365" s="76"/>
      <c r="VXD1365" s="76"/>
      <c r="VXE1365" s="76"/>
      <c r="VXF1365" s="76"/>
      <c r="VXG1365" s="76"/>
      <c r="VXH1365" s="76"/>
      <c r="VXI1365" s="76"/>
      <c r="VXJ1365" s="76"/>
      <c r="VXK1365" s="76"/>
      <c r="VXL1365" s="76"/>
      <c r="VXM1365" s="76"/>
      <c r="VXN1365" s="76"/>
      <c r="VXO1365" s="76"/>
      <c r="VXP1365" s="76"/>
      <c r="VXQ1365" s="76"/>
      <c r="VXR1365" s="76"/>
      <c r="VXS1365" s="76"/>
      <c r="VXT1365" s="76"/>
      <c r="VXU1365" s="76"/>
      <c r="VXV1365" s="76"/>
      <c r="VXW1365" s="76"/>
      <c r="VXX1365" s="76"/>
      <c r="VXY1365" s="76"/>
      <c r="VXZ1365" s="76"/>
      <c r="VYA1365" s="76"/>
      <c r="VYB1365" s="76"/>
      <c r="VYC1365" s="76"/>
      <c r="VYD1365" s="76"/>
      <c r="VYE1365" s="76"/>
      <c r="VYF1365" s="76"/>
      <c r="VYG1365" s="76"/>
      <c r="VYH1365" s="76"/>
      <c r="VYI1365" s="76"/>
      <c r="VYJ1365" s="76"/>
      <c r="VYK1365" s="76"/>
      <c r="VYL1365" s="76"/>
      <c r="VYM1365" s="76"/>
      <c r="VYN1365" s="76"/>
      <c r="VYO1365" s="76"/>
      <c r="VYP1365" s="76"/>
      <c r="VYQ1365" s="76"/>
      <c r="VYR1365" s="76"/>
      <c r="VYS1365" s="76"/>
      <c r="VYT1365" s="76"/>
      <c r="VYU1365" s="76"/>
      <c r="VYV1365" s="76"/>
      <c r="VYW1365" s="76"/>
      <c r="VYX1365" s="76"/>
      <c r="VYY1365" s="76"/>
      <c r="VYZ1365" s="76"/>
      <c r="VZA1365" s="76"/>
      <c r="VZB1365" s="76"/>
      <c r="VZC1365" s="76"/>
      <c r="VZD1365" s="76"/>
      <c r="VZE1365" s="76"/>
      <c r="VZF1365" s="76"/>
      <c r="VZG1365" s="76"/>
      <c r="VZH1365" s="76"/>
      <c r="VZI1365" s="76"/>
      <c r="VZJ1365" s="76"/>
      <c r="VZK1365" s="76"/>
      <c r="VZL1365" s="76"/>
      <c r="VZM1365" s="76"/>
      <c r="VZN1365" s="76"/>
      <c r="VZO1365" s="76"/>
      <c r="VZP1365" s="76"/>
      <c r="VZQ1365" s="76"/>
      <c r="VZR1365" s="76"/>
      <c r="VZS1365" s="76"/>
      <c r="VZT1365" s="76"/>
      <c r="VZU1365" s="76"/>
      <c r="VZV1365" s="76"/>
      <c r="VZW1365" s="76"/>
      <c r="VZX1365" s="76"/>
      <c r="VZY1365" s="76"/>
      <c r="VZZ1365" s="76"/>
      <c r="WAA1365" s="76"/>
      <c r="WAB1365" s="76"/>
      <c r="WAC1365" s="76"/>
      <c r="WAD1365" s="76"/>
      <c r="WAE1365" s="76"/>
      <c r="WAF1365" s="76"/>
      <c r="WAG1365" s="76"/>
      <c r="WAH1365" s="76"/>
      <c r="WAI1365" s="76"/>
      <c r="WAJ1365" s="76"/>
      <c r="WAK1365" s="76"/>
      <c r="WAL1365" s="76"/>
      <c r="WAM1365" s="76"/>
      <c r="WAN1365" s="76"/>
      <c r="WAO1365" s="76"/>
      <c r="WAP1365" s="76"/>
      <c r="WAQ1365" s="76"/>
      <c r="WAR1365" s="76"/>
      <c r="WAS1365" s="76"/>
      <c r="WAT1365" s="76"/>
      <c r="WAU1365" s="76"/>
      <c r="WAV1365" s="76"/>
      <c r="WAW1365" s="76"/>
      <c r="WAX1365" s="76"/>
      <c r="WAY1365" s="76"/>
      <c r="WAZ1365" s="76"/>
      <c r="WBA1365" s="76"/>
      <c r="WBB1365" s="76"/>
      <c r="WBC1365" s="76"/>
      <c r="WBD1365" s="76"/>
      <c r="WBE1365" s="76"/>
      <c r="WBF1365" s="76"/>
      <c r="WBG1365" s="76"/>
      <c r="WBH1365" s="76"/>
      <c r="WBI1365" s="76"/>
      <c r="WBJ1365" s="76"/>
      <c r="WBK1365" s="76"/>
      <c r="WBL1365" s="76"/>
      <c r="WBM1365" s="76"/>
      <c r="WBN1365" s="76"/>
      <c r="WBO1365" s="76"/>
      <c r="WBP1365" s="76"/>
      <c r="WBQ1365" s="76"/>
      <c r="WBR1365" s="76"/>
      <c r="WBS1365" s="76"/>
      <c r="WBT1365" s="76"/>
      <c r="WBU1365" s="50"/>
      <c r="WBV1365" s="76"/>
      <c r="WBW1365" s="76"/>
      <c r="WBX1365" s="76"/>
      <c r="WBY1365" s="76"/>
      <c r="WBZ1365" s="76"/>
      <c r="WCA1365" s="76"/>
      <c r="WCB1365" s="76"/>
      <c r="WCC1365" s="76"/>
      <c r="WCD1365" s="76"/>
      <c r="WCE1365" s="76"/>
      <c r="WCF1365" s="76"/>
      <c r="WCG1365" s="76"/>
      <c r="WCH1365" s="76"/>
      <c r="WCI1365" s="76"/>
      <c r="WCJ1365" s="76"/>
      <c r="WCK1365" s="76"/>
      <c r="WCL1365" s="76"/>
      <c r="WCM1365" s="76"/>
      <c r="WCN1365" s="76"/>
      <c r="WCO1365" s="76"/>
      <c r="WCP1365" s="76"/>
      <c r="WCQ1365" s="76"/>
      <c r="WCR1365" s="76"/>
      <c r="WCS1365" s="76"/>
      <c r="WCT1365" s="76"/>
      <c r="WCU1365" s="76"/>
      <c r="WCV1365" s="76"/>
      <c r="WCW1365" s="76"/>
      <c r="WCX1365" s="76"/>
      <c r="WCY1365" s="76"/>
      <c r="WCZ1365" s="76"/>
      <c r="WDA1365" s="76"/>
      <c r="WDB1365" s="76"/>
      <c r="WDC1365" s="76"/>
      <c r="WDD1365" s="76"/>
      <c r="WDE1365" s="76"/>
      <c r="WDF1365" s="76"/>
      <c r="WDG1365" s="76"/>
      <c r="WDH1365" s="76"/>
      <c r="WDI1365" s="76"/>
      <c r="WDJ1365" s="76"/>
      <c r="WDK1365" s="76"/>
      <c r="WDL1365" s="76"/>
      <c r="WDM1365" s="76"/>
      <c r="WDN1365" s="76"/>
      <c r="WDO1365" s="76"/>
      <c r="WDP1365" s="76"/>
      <c r="WDQ1365" s="76"/>
      <c r="WDR1365" s="76"/>
      <c r="WDS1365" s="76"/>
      <c r="WDT1365" s="76"/>
      <c r="WDU1365" s="76"/>
      <c r="WDV1365" s="76"/>
      <c r="WDW1365" s="76"/>
      <c r="WDX1365" s="76"/>
      <c r="WDY1365" s="76"/>
      <c r="WDZ1365" s="76"/>
      <c r="WEA1365" s="76"/>
      <c r="WEB1365" s="76"/>
      <c r="WEC1365" s="76"/>
      <c r="WED1365" s="76"/>
      <c r="WEE1365" s="76"/>
      <c r="WEF1365" s="76"/>
      <c r="WEG1365" s="76"/>
      <c r="WEH1365" s="76"/>
      <c r="WEI1365" s="76"/>
      <c r="WEJ1365" s="76"/>
      <c r="WEK1365" s="76"/>
      <c r="WEL1365" s="76"/>
      <c r="WEM1365" s="76"/>
      <c r="WEN1365" s="76"/>
      <c r="WEO1365" s="76"/>
      <c r="WEP1365" s="76"/>
      <c r="WEQ1365" s="76"/>
      <c r="WER1365" s="76"/>
      <c r="WES1365" s="76"/>
      <c r="WET1365" s="76"/>
      <c r="WEU1365" s="76"/>
      <c r="WEV1365" s="76"/>
      <c r="WEW1365" s="76"/>
      <c r="WEX1365" s="76"/>
      <c r="WEY1365" s="76"/>
      <c r="WEZ1365" s="76"/>
      <c r="WFA1365" s="76"/>
      <c r="WFB1365" s="76"/>
      <c r="WFC1365" s="76"/>
      <c r="WFD1365" s="76"/>
      <c r="WFE1365" s="76"/>
      <c r="WFF1365" s="76"/>
      <c r="WFG1365" s="76"/>
      <c r="WFH1365" s="76"/>
      <c r="WFI1365" s="76"/>
      <c r="WFJ1365" s="76"/>
      <c r="WFK1365" s="76"/>
      <c r="WFL1365" s="76"/>
      <c r="WFM1365" s="76"/>
      <c r="WFN1365" s="76"/>
      <c r="WFO1365" s="76"/>
      <c r="WFP1365" s="76"/>
      <c r="WFQ1365" s="76"/>
      <c r="WFR1365" s="76"/>
      <c r="WFS1365" s="76"/>
      <c r="WFT1365" s="76"/>
      <c r="WFU1365" s="76"/>
      <c r="WFV1365" s="76"/>
      <c r="WFW1365" s="76"/>
      <c r="WFX1365" s="76"/>
      <c r="WFY1365" s="76"/>
      <c r="WFZ1365" s="76"/>
      <c r="WGA1365" s="76"/>
      <c r="WGB1365" s="76"/>
      <c r="WGC1365" s="76"/>
      <c r="WGD1365" s="76"/>
      <c r="WGE1365" s="76"/>
      <c r="WGF1365" s="76"/>
      <c r="WGG1365" s="76"/>
      <c r="WGH1365" s="76"/>
      <c r="WGI1365" s="76"/>
      <c r="WGJ1365" s="76"/>
      <c r="WGK1365" s="76"/>
      <c r="WGL1365" s="76"/>
      <c r="WGM1365" s="76"/>
      <c r="WGN1365" s="76"/>
      <c r="WGO1365" s="76"/>
      <c r="WGP1365" s="76"/>
      <c r="WGQ1365" s="76"/>
      <c r="WGR1365" s="76"/>
      <c r="WGS1365" s="76"/>
      <c r="WGT1365" s="76"/>
      <c r="WGU1365" s="76"/>
      <c r="WGV1365" s="76"/>
      <c r="WGW1365" s="76"/>
      <c r="WGX1365" s="76"/>
      <c r="WGY1365" s="76"/>
      <c r="WGZ1365" s="76"/>
      <c r="WHA1365" s="76"/>
      <c r="WHB1365" s="76"/>
      <c r="WHC1365" s="76"/>
      <c r="WHD1365" s="76"/>
      <c r="WHE1365" s="76"/>
      <c r="WHF1365" s="76"/>
      <c r="WHG1365" s="76"/>
      <c r="WHH1365" s="76"/>
      <c r="WHI1365" s="76"/>
      <c r="WHJ1365" s="76"/>
      <c r="WHK1365" s="76"/>
      <c r="WHL1365" s="76"/>
      <c r="WHM1365" s="76"/>
      <c r="WHN1365" s="76"/>
      <c r="WHO1365" s="76"/>
      <c r="WHP1365" s="76"/>
      <c r="WHQ1365" s="76"/>
      <c r="WHR1365" s="76"/>
      <c r="WHS1365" s="76"/>
      <c r="WHT1365" s="76"/>
      <c r="WHU1365" s="76"/>
      <c r="WHV1365" s="76"/>
      <c r="WHW1365" s="76"/>
      <c r="WHX1365" s="76"/>
      <c r="WHY1365" s="76"/>
      <c r="WHZ1365" s="76"/>
      <c r="WIA1365" s="76"/>
      <c r="WIB1365" s="76"/>
      <c r="WIC1365" s="76"/>
      <c r="WID1365" s="76"/>
      <c r="WIE1365" s="76"/>
      <c r="WIF1365" s="76"/>
      <c r="WIG1365" s="76"/>
      <c r="WIH1365" s="76"/>
      <c r="WII1365" s="76"/>
      <c r="WIJ1365" s="76"/>
      <c r="WIK1365" s="76"/>
      <c r="WIL1365" s="76"/>
      <c r="WIM1365" s="76"/>
      <c r="WIN1365" s="76"/>
      <c r="WIO1365" s="76"/>
      <c r="WIP1365" s="76"/>
      <c r="WIQ1365" s="76"/>
      <c r="WIR1365" s="76"/>
      <c r="WIS1365" s="76"/>
      <c r="WIT1365" s="76"/>
      <c r="WIU1365" s="76"/>
      <c r="WIV1365" s="76"/>
      <c r="WIW1365" s="76"/>
      <c r="WIX1365" s="76"/>
      <c r="WIY1365" s="76"/>
      <c r="WIZ1365" s="76"/>
      <c r="WJA1365" s="76"/>
      <c r="WJB1365" s="76"/>
      <c r="WJC1365" s="76"/>
      <c r="WJD1365" s="76"/>
      <c r="WJE1365" s="76"/>
      <c r="WJF1365" s="76"/>
      <c r="WJG1365" s="76"/>
      <c r="WJH1365" s="76"/>
      <c r="WJI1365" s="76"/>
      <c r="WJJ1365" s="76"/>
      <c r="WJK1365" s="76"/>
      <c r="WJL1365" s="76"/>
      <c r="WJM1365" s="76"/>
      <c r="WJN1365" s="76"/>
      <c r="WJO1365" s="76"/>
      <c r="WJP1365" s="76"/>
      <c r="WJQ1365" s="76"/>
      <c r="WJR1365" s="76"/>
      <c r="WJS1365" s="76"/>
      <c r="WJT1365" s="76"/>
      <c r="WJU1365" s="76"/>
      <c r="WJV1365" s="76"/>
      <c r="WJW1365" s="76"/>
      <c r="WJX1365" s="76"/>
      <c r="WJY1365" s="76"/>
      <c r="WJZ1365" s="76"/>
      <c r="WKA1365" s="76"/>
      <c r="WKB1365" s="76"/>
      <c r="WKC1365" s="76"/>
      <c r="WKD1365" s="76"/>
      <c r="WKE1365" s="76"/>
      <c r="WKF1365" s="76"/>
      <c r="WKG1365" s="76"/>
      <c r="WKH1365" s="76"/>
      <c r="WKI1365" s="76"/>
      <c r="WKJ1365" s="76"/>
      <c r="WKK1365" s="76"/>
      <c r="WKL1365" s="76"/>
      <c r="WKM1365" s="76"/>
      <c r="WKN1365" s="76"/>
      <c r="WKO1365" s="76"/>
      <c r="WKP1365" s="76"/>
      <c r="WKQ1365" s="76"/>
      <c r="WKR1365" s="76"/>
      <c r="WKS1365" s="76"/>
      <c r="WKT1365" s="76"/>
      <c r="WKU1365" s="76"/>
      <c r="WKV1365" s="76"/>
      <c r="WKW1365" s="76"/>
      <c r="WKX1365" s="76"/>
      <c r="WKY1365" s="76"/>
      <c r="WKZ1365" s="76"/>
      <c r="WLA1365" s="76"/>
      <c r="WLB1365" s="76"/>
      <c r="WLC1365" s="76"/>
      <c r="WLD1365" s="76"/>
      <c r="WLE1365" s="76"/>
      <c r="WLF1365" s="76"/>
      <c r="WLG1365" s="76"/>
      <c r="WLH1365" s="76"/>
      <c r="WLI1365" s="76"/>
      <c r="WLJ1365" s="76"/>
      <c r="WLK1365" s="76"/>
      <c r="WLL1365" s="76"/>
      <c r="WLM1365" s="76"/>
      <c r="WLN1365" s="76"/>
      <c r="WLO1365" s="76"/>
      <c r="WLP1365" s="76"/>
      <c r="WLQ1365" s="50"/>
      <c r="WLR1365" s="76"/>
      <c r="WLS1365" s="76"/>
      <c r="WLT1365" s="76"/>
      <c r="WLU1365" s="76"/>
      <c r="WLV1365" s="76"/>
      <c r="WLW1365" s="76"/>
      <c r="WLX1365" s="76"/>
      <c r="WLY1365" s="76"/>
      <c r="WLZ1365" s="76"/>
      <c r="WMA1365" s="76"/>
      <c r="WMB1365" s="76"/>
      <c r="WMC1365" s="76"/>
      <c r="WMD1365" s="76"/>
      <c r="WME1365" s="76"/>
      <c r="WMF1365" s="76"/>
      <c r="WMG1365" s="76"/>
      <c r="WMH1365" s="76"/>
      <c r="WMI1365" s="76"/>
      <c r="WMJ1365" s="76"/>
      <c r="WMK1365" s="76"/>
      <c r="WML1365" s="76"/>
      <c r="WMM1365" s="76"/>
      <c r="WMN1365" s="76"/>
      <c r="WMO1365" s="76"/>
      <c r="WMP1365" s="76"/>
      <c r="WMQ1365" s="76"/>
      <c r="WMR1365" s="76"/>
      <c r="WMS1365" s="76"/>
      <c r="WMT1365" s="76"/>
      <c r="WMU1365" s="76"/>
      <c r="WMV1365" s="76"/>
      <c r="WMW1365" s="76"/>
      <c r="WMX1365" s="76"/>
      <c r="WMY1365" s="76"/>
      <c r="WMZ1365" s="76"/>
      <c r="WNA1365" s="76"/>
      <c r="WNB1365" s="76"/>
      <c r="WNC1365" s="76"/>
      <c r="WND1365" s="76"/>
      <c r="WNE1365" s="76"/>
      <c r="WNF1365" s="76"/>
      <c r="WNG1365" s="76"/>
      <c r="WNH1365" s="76"/>
      <c r="WNI1365" s="76"/>
      <c r="WNJ1365" s="76"/>
      <c r="WNK1365" s="76"/>
      <c r="WNL1365" s="76"/>
      <c r="WNM1365" s="76"/>
      <c r="WNN1365" s="76"/>
      <c r="WNO1365" s="76"/>
      <c r="WNP1365" s="76"/>
      <c r="WNQ1365" s="76"/>
      <c r="WNR1365" s="76"/>
      <c r="WNS1365" s="76"/>
      <c r="WNT1365" s="76"/>
      <c r="WNU1365" s="76"/>
      <c r="WNV1365" s="76"/>
      <c r="WNW1365" s="76"/>
      <c r="WNX1365" s="76"/>
      <c r="WNY1365" s="76"/>
      <c r="WNZ1365" s="76"/>
      <c r="WOA1365" s="76"/>
      <c r="WOB1365" s="76"/>
      <c r="WOC1365" s="76"/>
      <c r="WOD1365" s="76"/>
      <c r="WOE1365" s="76"/>
      <c r="WOF1365" s="76"/>
      <c r="WOG1365" s="76"/>
      <c r="WOH1365" s="76"/>
      <c r="WOI1365" s="76"/>
      <c r="WOJ1365" s="76"/>
      <c r="WOK1365" s="76"/>
      <c r="WOL1365" s="76"/>
      <c r="WOM1365" s="76"/>
      <c r="WON1365" s="76"/>
      <c r="WOO1365" s="76"/>
      <c r="WOP1365" s="76"/>
      <c r="WOQ1365" s="76"/>
      <c r="WOR1365" s="76"/>
      <c r="WOS1365" s="76"/>
      <c r="WOT1365" s="76"/>
      <c r="WOU1365" s="76"/>
      <c r="WOV1365" s="76"/>
      <c r="WOW1365" s="76"/>
      <c r="WOX1365" s="76"/>
      <c r="WOY1365" s="76"/>
      <c r="WOZ1365" s="76"/>
      <c r="WPA1365" s="76"/>
      <c r="WPB1365" s="76"/>
      <c r="WPC1365" s="76"/>
      <c r="WPD1365" s="76"/>
      <c r="WPE1365" s="76"/>
      <c r="WPF1365" s="76"/>
      <c r="WPG1365" s="76"/>
      <c r="WPH1365" s="76"/>
      <c r="WPI1365" s="76"/>
      <c r="WPJ1365" s="76"/>
      <c r="WPK1365" s="76"/>
      <c r="WPL1365" s="76"/>
      <c r="WPM1365" s="76"/>
      <c r="WPN1365" s="76"/>
      <c r="WPO1365" s="76"/>
      <c r="WPP1365" s="76"/>
      <c r="WPQ1365" s="76"/>
      <c r="WPR1365" s="76"/>
      <c r="WPS1365" s="76"/>
      <c r="WPT1365" s="76"/>
      <c r="WPU1365" s="76"/>
      <c r="WPV1365" s="76"/>
      <c r="WPW1365" s="76"/>
      <c r="WPX1365" s="76"/>
      <c r="WPY1365" s="76"/>
      <c r="WPZ1365" s="76"/>
      <c r="WQA1365" s="76"/>
      <c r="WQB1365" s="76"/>
      <c r="WQC1365" s="76"/>
      <c r="WQD1365" s="76"/>
      <c r="WQE1365" s="76"/>
      <c r="WQF1365" s="76"/>
      <c r="WQG1365" s="76"/>
      <c r="WQH1365" s="76"/>
      <c r="WQI1365" s="76"/>
      <c r="WQJ1365" s="76"/>
      <c r="WQK1365" s="76"/>
      <c r="WQL1365" s="76"/>
      <c r="WQM1365" s="76"/>
      <c r="WQN1365" s="76"/>
      <c r="WQO1365" s="76"/>
      <c r="WQP1365" s="76"/>
      <c r="WQQ1365" s="76"/>
      <c r="WQR1365" s="76"/>
      <c r="WQS1365" s="76"/>
      <c r="WQT1365" s="76"/>
      <c r="WQU1365" s="76"/>
      <c r="WQV1365" s="76"/>
      <c r="WQW1365" s="76"/>
      <c r="WQX1365" s="76"/>
      <c r="WQY1365" s="76"/>
      <c r="WQZ1365" s="76"/>
      <c r="WRA1365" s="76"/>
      <c r="WRB1365" s="76"/>
      <c r="WRC1365" s="76"/>
      <c r="WRD1365" s="76"/>
      <c r="WRE1365" s="76"/>
      <c r="WRF1365" s="76"/>
      <c r="WRG1365" s="76"/>
      <c r="WRH1365" s="76"/>
      <c r="WRI1365" s="76"/>
      <c r="WRJ1365" s="76"/>
      <c r="WRK1365" s="76"/>
      <c r="WRL1365" s="76"/>
      <c r="WRM1365" s="76"/>
      <c r="WRN1365" s="76"/>
      <c r="WRO1365" s="76"/>
      <c r="WRP1365" s="76"/>
      <c r="WRQ1365" s="76"/>
      <c r="WRR1365" s="76"/>
      <c r="WRS1365" s="76"/>
      <c r="WRT1365" s="76"/>
      <c r="WRU1365" s="76"/>
      <c r="WRV1365" s="76"/>
      <c r="WRW1365" s="76"/>
      <c r="WRX1365" s="76"/>
      <c r="WRY1365" s="76"/>
      <c r="WRZ1365" s="76"/>
      <c r="WSA1365" s="76"/>
      <c r="WSB1365" s="76"/>
      <c r="WSC1365" s="76"/>
      <c r="WSD1365" s="76"/>
      <c r="WSE1365" s="76"/>
      <c r="WSF1365" s="76"/>
      <c r="WSG1365" s="76"/>
      <c r="WSH1365" s="76"/>
      <c r="WSI1365" s="76"/>
      <c r="WSJ1365" s="76"/>
      <c r="WSK1365" s="76"/>
      <c r="WSL1365" s="76"/>
      <c r="WSM1365" s="76"/>
      <c r="WSN1365" s="76"/>
      <c r="WSO1365" s="76"/>
      <c r="WSP1365" s="76"/>
      <c r="WSQ1365" s="76"/>
      <c r="WSR1365" s="76"/>
      <c r="WSS1365" s="76"/>
      <c r="WST1365" s="76"/>
      <c r="WSU1365" s="76"/>
      <c r="WSV1365" s="76"/>
      <c r="WSW1365" s="76"/>
      <c r="WSX1365" s="76"/>
      <c r="WSY1365" s="76"/>
      <c r="WSZ1365" s="76"/>
      <c r="WTA1365" s="76"/>
      <c r="WTB1365" s="76"/>
      <c r="WTC1365" s="76"/>
      <c r="WTD1365" s="76"/>
      <c r="WTE1365" s="76"/>
      <c r="WTF1365" s="76"/>
      <c r="WTG1365" s="76"/>
      <c r="WTH1365" s="76"/>
      <c r="WTI1365" s="76"/>
      <c r="WTJ1365" s="76"/>
      <c r="WTK1365" s="76"/>
      <c r="WTL1365" s="76"/>
      <c r="WTM1365" s="76"/>
      <c r="WTN1365" s="76"/>
      <c r="WTO1365" s="76"/>
      <c r="WTP1365" s="76"/>
      <c r="WTQ1365" s="76"/>
      <c r="WTR1365" s="76"/>
      <c r="WTS1365" s="76"/>
      <c r="WTT1365" s="76"/>
      <c r="WTU1365" s="76"/>
      <c r="WTV1365" s="76"/>
      <c r="WTW1365" s="76"/>
      <c r="WTX1365" s="76"/>
      <c r="WTY1365" s="76"/>
      <c r="WTZ1365" s="76"/>
      <c r="WUA1365" s="76"/>
      <c r="WUB1365" s="76"/>
      <c r="WUC1365" s="76"/>
      <c r="WUD1365" s="76"/>
      <c r="WUE1365" s="76"/>
      <c r="WUF1365" s="76"/>
      <c r="WUG1365" s="76"/>
      <c r="WUH1365" s="76"/>
      <c r="WUI1365" s="76"/>
      <c r="WUJ1365" s="76"/>
      <c r="WUK1365" s="76"/>
      <c r="WUL1365" s="76"/>
      <c r="WUM1365" s="76"/>
      <c r="WUN1365" s="76"/>
      <c r="WUO1365" s="76"/>
      <c r="WUP1365" s="76"/>
      <c r="WUQ1365" s="76"/>
      <c r="WUR1365" s="76"/>
      <c r="WUS1365" s="76"/>
      <c r="WUT1365" s="76"/>
      <c r="WUU1365" s="76"/>
      <c r="WUV1365" s="76"/>
      <c r="WUW1365" s="76"/>
      <c r="WUX1365" s="76"/>
      <c r="WUY1365" s="76"/>
      <c r="WUZ1365" s="76"/>
      <c r="WVA1365" s="76"/>
      <c r="WVB1365" s="76"/>
      <c r="WVC1365" s="76"/>
      <c r="WVD1365" s="76"/>
      <c r="WVE1365" s="76"/>
      <c r="WVF1365" s="76"/>
      <c r="WVG1365" s="76"/>
      <c r="WVH1365" s="76"/>
      <c r="WVI1365" s="76"/>
      <c r="WVJ1365" s="76"/>
      <c r="WVK1365" s="76"/>
      <c r="WVL1365" s="76"/>
      <c r="WVM1365" s="50"/>
      <c r="WVN1365" s="76"/>
      <c r="WVO1365" s="76"/>
      <c r="WVP1365" s="76"/>
      <c r="WVQ1365" s="76"/>
      <c r="WVR1365" s="76"/>
      <c r="WVS1365" s="76"/>
      <c r="WVT1365" s="76"/>
      <c r="WVU1365" s="76"/>
      <c r="WVV1365" s="76"/>
      <c r="WVW1365" s="76"/>
      <c r="WVX1365" s="76"/>
      <c r="WVY1365" s="76"/>
      <c r="WVZ1365" s="76"/>
      <c r="WWA1365" s="76"/>
      <c r="WWB1365" s="76"/>
      <c r="WWC1365" s="76"/>
      <c r="WWD1365" s="76"/>
      <c r="WWE1365" s="76"/>
      <c r="WWF1365" s="76"/>
      <c r="WWG1365" s="76"/>
      <c r="WWH1365" s="76"/>
      <c r="WWI1365" s="76"/>
      <c r="WWJ1365" s="76"/>
      <c r="WWK1365" s="76"/>
      <c r="WWL1365" s="76"/>
      <c r="WWM1365" s="76"/>
      <c r="WWN1365" s="76"/>
      <c r="WWO1365" s="76"/>
      <c r="WWP1365" s="76"/>
      <c r="WWQ1365" s="76"/>
      <c r="WWR1365" s="76"/>
      <c r="WWS1365" s="76"/>
      <c r="WWT1365" s="76"/>
      <c r="WWU1365" s="76"/>
      <c r="WWV1365" s="76"/>
      <c r="WWW1365" s="76"/>
      <c r="WWX1365" s="76"/>
      <c r="WWY1365" s="76"/>
      <c r="WWZ1365" s="76"/>
      <c r="WXA1365" s="76"/>
      <c r="WXB1365" s="76"/>
      <c r="WXC1365" s="76"/>
      <c r="WXD1365" s="76"/>
      <c r="WXE1365" s="76"/>
      <c r="WXF1365" s="76"/>
      <c r="WXG1365" s="76"/>
      <c r="WXH1365" s="76"/>
      <c r="WXI1365" s="76"/>
      <c r="WXJ1365" s="76"/>
      <c r="WXK1365" s="76"/>
      <c r="WXL1365" s="76"/>
      <c r="WXM1365" s="76"/>
      <c r="WXN1365" s="76"/>
      <c r="WXO1365" s="76"/>
      <c r="WXP1365" s="76"/>
      <c r="WXQ1365" s="76"/>
      <c r="WXR1365" s="76"/>
      <c r="WXS1365" s="76"/>
      <c r="WXT1365" s="76"/>
      <c r="WXU1365" s="76"/>
      <c r="WXV1365" s="76"/>
      <c r="WXW1365" s="76"/>
      <c r="WXX1365" s="76"/>
      <c r="WXY1365" s="76"/>
      <c r="WXZ1365" s="76"/>
      <c r="WYA1365" s="76"/>
      <c r="WYB1365" s="76"/>
      <c r="WYC1365" s="76"/>
      <c r="WYD1365" s="76"/>
      <c r="WYE1365" s="76"/>
      <c r="WYF1365" s="76"/>
      <c r="WYG1365" s="76"/>
      <c r="WYH1365" s="76"/>
      <c r="WYI1365" s="76"/>
      <c r="WYJ1365" s="76"/>
      <c r="WYK1365" s="76"/>
      <c r="WYL1365" s="76"/>
      <c r="WYM1365" s="76"/>
      <c r="WYN1365" s="76"/>
      <c r="WYO1365" s="76"/>
      <c r="WYP1365" s="76"/>
      <c r="WYQ1365" s="76"/>
      <c r="WYR1365" s="76"/>
      <c r="WYS1365" s="76"/>
      <c r="WYT1365" s="76"/>
      <c r="WYU1365" s="76"/>
      <c r="WYV1365" s="76"/>
      <c r="WYW1365" s="76"/>
      <c r="WYX1365" s="76"/>
      <c r="WYY1365" s="76"/>
      <c r="WYZ1365" s="76"/>
      <c r="WZA1365" s="76"/>
      <c r="WZB1365" s="76"/>
      <c r="WZC1365" s="76"/>
      <c r="WZD1365" s="76"/>
      <c r="WZE1365" s="76"/>
      <c r="WZF1365" s="76"/>
      <c r="WZG1365" s="76"/>
      <c r="WZH1365" s="76"/>
      <c r="WZI1365" s="76"/>
      <c r="WZJ1365" s="76"/>
      <c r="WZK1365" s="76"/>
      <c r="WZL1365" s="76"/>
      <c r="WZM1365" s="76"/>
      <c r="WZN1365" s="76"/>
      <c r="WZO1365" s="76"/>
      <c r="WZP1365" s="76"/>
      <c r="WZQ1365" s="76"/>
      <c r="WZR1365" s="76"/>
      <c r="WZS1365" s="76"/>
      <c r="WZT1365" s="76"/>
      <c r="WZU1365" s="76"/>
      <c r="WZV1365" s="76"/>
      <c r="WZW1365" s="76"/>
      <c r="WZX1365" s="76"/>
      <c r="WZY1365" s="76"/>
      <c r="WZZ1365" s="76"/>
      <c r="XAA1365" s="76"/>
      <c r="XAB1365" s="76"/>
      <c r="XAC1365" s="76"/>
      <c r="XAD1365" s="76"/>
      <c r="XAE1365" s="76"/>
      <c r="XAF1365" s="76"/>
      <c r="XAG1365" s="76"/>
      <c r="XAH1365" s="76"/>
      <c r="XAI1365" s="76"/>
      <c r="XAJ1365" s="76"/>
      <c r="XAK1365" s="76"/>
      <c r="XAL1365" s="76"/>
      <c r="XAM1365" s="76"/>
      <c r="XAN1365" s="76"/>
      <c r="XAO1365" s="76"/>
      <c r="XAP1365" s="76"/>
      <c r="XAQ1365" s="76"/>
      <c r="XAR1365" s="76"/>
      <c r="XAS1365" s="76"/>
      <c r="XAT1365" s="76"/>
      <c r="XAU1365" s="76"/>
      <c r="XAV1365" s="76"/>
      <c r="XAW1365" s="76"/>
      <c r="XAX1365" s="76"/>
      <c r="XAY1365" s="76"/>
      <c r="XAZ1365" s="76"/>
      <c r="XBA1365" s="76"/>
      <c r="XBB1365" s="76"/>
      <c r="XBC1365" s="76"/>
      <c r="XBD1365" s="76"/>
      <c r="XBE1365" s="76"/>
      <c r="XBF1365" s="76"/>
      <c r="XBG1365" s="76"/>
      <c r="XBH1365" s="76"/>
      <c r="XBI1365" s="76"/>
      <c r="XBJ1365" s="76"/>
      <c r="XBK1365" s="76"/>
      <c r="XBL1365" s="76"/>
      <c r="XBM1365" s="76"/>
      <c r="XBN1365" s="76"/>
      <c r="XBO1365" s="76"/>
      <c r="XBP1365" s="76"/>
      <c r="XBQ1365" s="76"/>
      <c r="XBR1365" s="76"/>
      <c r="XBS1365" s="76"/>
      <c r="XBT1365" s="76"/>
      <c r="XBU1365" s="76"/>
      <c r="XBV1365" s="76"/>
      <c r="XBW1365" s="76"/>
      <c r="XBX1365" s="76"/>
      <c r="XBY1365" s="76"/>
      <c r="XBZ1365" s="76"/>
      <c r="XCA1365" s="76"/>
      <c r="XCB1365" s="76"/>
      <c r="XCC1365" s="76"/>
      <c r="XCD1365" s="76"/>
      <c r="XCE1365" s="76"/>
      <c r="XCF1365" s="76"/>
      <c r="XCG1365" s="76"/>
      <c r="XCH1365" s="76"/>
      <c r="XCI1365" s="76"/>
      <c r="XCJ1365" s="76"/>
      <c r="XCK1365" s="76"/>
      <c r="XCL1365" s="76"/>
      <c r="XCM1365" s="76"/>
      <c r="XCN1365" s="76"/>
      <c r="XCO1365" s="76"/>
      <c r="XCP1365" s="76"/>
      <c r="XCQ1365" s="76"/>
      <c r="XCR1365" s="76"/>
      <c r="XCS1365" s="76"/>
      <c r="XCT1365" s="76"/>
      <c r="XCU1365" s="76"/>
      <c r="XCV1365" s="76"/>
      <c r="XCW1365" s="76"/>
      <c r="XCX1365" s="76"/>
      <c r="XCY1365" s="76"/>
      <c r="XCZ1365" s="76"/>
      <c r="XDA1365" s="76"/>
      <c r="XDB1365" s="76"/>
      <c r="XDC1365" s="76"/>
      <c r="XDD1365" s="76"/>
      <c r="XDE1365" s="76"/>
      <c r="XDF1365" s="76"/>
      <c r="XDG1365" s="76"/>
      <c r="XDH1365" s="76"/>
      <c r="XDI1365" s="76"/>
      <c r="XDJ1365" s="76"/>
      <c r="XDK1365" s="76"/>
      <c r="XDL1365" s="76"/>
      <c r="XDM1365" s="76"/>
      <c r="XDN1365" s="76"/>
      <c r="XDO1365" s="76"/>
      <c r="XDP1365" s="76"/>
      <c r="XDQ1365" s="76"/>
      <c r="XDR1365" s="76"/>
      <c r="XDS1365" s="76"/>
      <c r="XDT1365" s="76"/>
      <c r="XDU1365" s="76"/>
      <c r="XDV1365" s="76"/>
      <c r="XDW1365" s="76"/>
      <c r="XDX1365" s="76"/>
      <c r="XDY1365" s="76"/>
      <c r="XDZ1365" s="76"/>
      <c r="XEA1365" s="76"/>
      <c r="XEB1365" s="76"/>
      <c r="XEC1365" s="76"/>
      <c r="XED1365" s="76"/>
      <c r="XEE1365" s="76"/>
      <c r="XEF1365" s="76"/>
      <c r="XEG1365" s="76"/>
      <c r="XEH1365" s="76"/>
      <c r="XEI1365" s="76"/>
      <c r="XEJ1365" s="76"/>
      <c r="XEK1365" s="76"/>
      <c r="XEL1365" s="76"/>
      <c r="XEM1365" s="76"/>
      <c r="XEN1365" s="76"/>
      <c r="XEO1365" s="76"/>
      <c r="XEP1365" s="76"/>
      <c r="XEQ1365" s="76"/>
      <c r="XER1365" s="76"/>
      <c r="XES1365" s="76"/>
      <c r="XET1365" s="76"/>
      <c r="XEU1365" s="76"/>
      <c r="XEV1365" s="76"/>
      <c r="XEW1365" s="76"/>
      <c r="XEX1365" s="76"/>
      <c r="XEY1365" s="76"/>
      <c r="XEZ1365" s="76"/>
      <c r="XFA1365" s="76"/>
      <c r="XFB1365" s="76"/>
    </row>
  </sheetData>
  <autoFilter xmlns:etc="http://www.wps.cn/officeDocument/2017/etCustomData" ref="A1:XFB1365" etc:filterBottomFollowUsedRange="0">
    <extLst/>
  </autoFilter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5"/>
  <sheetViews>
    <sheetView topLeftCell="A46" workbookViewId="0">
      <selection activeCell="A1" sqref="A1"/>
    </sheetView>
  </sheetViews>
  <sheetFormatPr defaultColWidth="10" defaultRowHeight="13.5" outlineLevelCol="4"/>
  <cols>
    <col min="1" max="1" width="27.1833333333333" style="75" customWidth="1"/>
    <col min="2" max="2" width="9.375" style="76" customWidth="1"/>
    <col min="3" max="3" width="30.5" style="76" customWidth="1"/>
    <col min="4" max="4" width="13.0916666666667" style="75" customWidth="1"/>
    <col min="5" max="5" width="8.875" style="75" customWidth="1"/>
    <col min="6" max="254" width="10" style="75"/>
    <col min="255" max="255" width="33" style="75" customWidth="1"/>
    <col min="256" max="256" width="9.375" style="75" customWidth="1"/>
    <col min="257" max="257" width="30.5" style="75" customWidth="1"/>
    <col min="258" max="258" width="33.7583333333333" style="75" customWidth="1"/>
    <col min="259" max="260" width="8.875" style="75" customWidth="1"/>
    <col min="261" max="510" width="10" style="75"/>
    <col min="511" max="511" width="33" style="75" customWidth="1"/>
    <col min="512" max="512" width="9.375" style="75" customWidth="1"/>
    <col min="513" max="513" width="30.5" style="75" customWidth="1"/>
    <col min="514" max="514" width="33.7583333333333" style="75" customWidth="1"/>
    <col min="515" max="516" width="8.875" style="75" customWidth="1"/>
    <col min="517" max="766" width="10" style="75"/>
    <col min="767" max="767" width="33" style="75" customWidth="1"/>
    <col min="768" max="768" width="9.375" style="75" customWidth="1"/>
    <col min="769" max="769" width="30.5" style="75" customWidth="1"/>
    <col min="770" max="770" width="33.7583333333333" style="75" customWidth="1"/>
    <col min="771" max="772" width="8.875" style="75" customWidth="1"/>
    <col min="773" max="1022" width="10" style="75"/>
    <col min="1023" max="1023" width="33" style="75" customWidth="1"/>
    <col min="1024" max="1024" width="9.375" style="75" customWidth="1"/>
    <col min="1025" max="1025" width="30.5" style="75" customWidth="1"/>
    <col min="1026" max="1026" width="33.7583333333333" style="75" customWidth="1"/>
    <col min="1027" max="1028" width="8.875" style="75" customWidth="1"/>
    <col min="1029" max="1278" width="10" style="75"/>
    <col min="1279" max="1279" width="33" style="75" customWidth="1"/>
    <col min="1280" max="1280" width="9.375" style="75" customWidth="1"/>
    <col min="1281" max="1281" width="30.5" style="75" customWidth="1"/>
    <col min="1282" max="1282" width="33.7583333333333" style="75" customWidth="1"/>
    <col min="1283" max="1284" width="8.875" style="75" customWidth="1"/>
    <col min="1285" max="1534" width="10" style="75"/>
    <col min="1535" max="1535" width="33" style="75" customWidth="1"/>
    <col min="1536" max="1536" width="9.375" style="75" customWidth="1"/>
    <col min="1537" max="1537" width="30.5" style="75" customWidth="1"/>
    <col min="1538" max="1538" width="33.7583333333333" style="75" customWidth="1"/>
    <col min="1539" max="1540" width="8.875" style="75" customWidth="1"/>
    <col min="1541" max="1790" width="10" style="75"/>
    <col min="1791" max="1791" width="33" style="75" customWidth="1"/>
    <col min="1792" max="1792" width="9.375" style="75" customWidth="1"/>
    <col min="1793" max="1793" width="30.5" style="75" customWidth="1"/>
    <col min="1794" max="1794" width="33.7583333333333" style="75" customWidth="1"/>
    <col min="1795" max="1796" width="8.875" style="75" customWidth="1"/>
    <col min="1797" max="2046" width="10" style="75"/>
    <col min="2047" max="2047" width="33" style="75" customWidth="1"/>
    <col min="2048" max="2048" width="9.375" style="75" customWidth="1"/>
    <col min="2049" max="2049" width="30.5" style="75" customWidth="1"/>
    <col min="2050" max="2050" width="33.7583333333333" style="75" customWidth="1"/>
    <col min="2051" max="2052" width="8.875" style="75" customWidth="1"/>
    <col min="2053" max="2302" width="10" style="75"/>
    <col min="2303" max="2303" width="33" style="75" customWidth="1"/>
    <col min="2304" max="2304" width="9.375" style="75" customWidth="1"/>
    <col min="2305" max="2305" width="30.5" style="75" customWidth="1"/>
    <col min="2306" max="2306" width="33.7583333333333" style="75" customWidth="1"/>
    <col min="2307" max="2308" width="8.875" style="75" customWidth="1"/>
    <col min="2309" max="2558" width="10" style="75"/>
    <col min="2559" max="2559" width="33" style="75" customWidth="1"/>
    <col min="2560" max="2560" width="9.375" style="75" customWidth="1"/>
    <col min="2561" max="2561" width="30.5" style="75" customWidth="1"/>
    <col min="2562" max="2562" width="33.7583333333333" style="75" customWidth="1"/>
    <col min="2563" max="2564" width="8.875" style="75" customWidth="1"/>
    <col min="2565" max="2814" width="10" style="75"/>
    <col min="2815" max="2815" width="33" style="75" customWidth="1"/>
    <col min="2816" max="2816" width="9.375" style="75" customWidth="1"/>
    <col min="2817" max="2817" width="30.5" style="75" customWidth="1"/>
    <col min="2818" max="2818" width="33.7583333333333" style="75" customWidth="1"/>
    <col min="2819" max="2820" width="8.875" style="75" customWidth="1"/>
    <col min="2821" max="3070" width="10" style="75"/>
    <col min="3071" max="3071" width="33" style="75" customWidth="1"/>
    <col min="3072" max="3072" width="9.375" style="75" customWidth="1"/>
    <col min="3073" max="3073" width="30.5" style="75" customWidth="1"/>
    <col min="3074" max="3074" width="33.7583333333333" style="75" customWidth="1"/>
    <col min="3075" max="3076" width="8.875" style="75" customWidth="1"/>
    <col min="3077" max="3326" width="10" style="75"/>
    <col min="3327" max="3327" width="33" style="75" customWidth="1"/>
    <col min="3328" max="3328" width="9.375" style="75" customWidth="1"/>
    <col min="3329" max="3329" width="30.5" style="75" customWidth="1"/>
    <col min="3330" max="3330" width="33.7583333333333" style="75" customWidth="1"/>
    <col min="3331" max="3332" width="8.875" style="75" customWidth="1"/>
    <col min="3333" max="3582" width="10" style="75"/>
    <col min="3583" max="3583" width="33" style="75" customWidth="1"/>
    <col min="3584" max="3584" width="9.375" style="75" customWidth="1"/>
    <col min="3585" max="3585" width="30.5" style="75" customWidth="1"/>
    <col min="3586" max="3586" width="33.7583333333333" style="75" customWidth="1"/>
    <col min="3587" max="3588" width="8.875" style="75" customWidth="1"/>
    <col min="3589" max="3838" width="10" style="75"/>
    <col min="3839" max="3839" width="33" style="75" customWidth="1"/>
    <col min="3840" max="3840" width="9.375" style="75" customWidth="1"/>
    <col min="3841" max="3841" width="30.5" style="75" customWidth="1"/>
    <col min="3842" max="3842" width="33.7583333333333" style="75" customWidth="1"/>
    <col min="3843" max="3844" width="8.875" style="75" customWidth="1"/>
    <col min="3845" max="4094" width="10" style="75"/>
    <col min="4095" max="4095" width="33" style="75" customWidth="1"/>
    <col min="4096" max="4096" width="9.375" style="75" customWidth="1"/>
    <col min="4097" max="4097" width="30.5" style="75" customWidth="1"/>
    <col min="4098" max="4098" width="33.7583333333333" style="75" customWidth="1"/>
    <col min="4099" max="4100" width="8.875" style="75" customWidth="1"/>
    <col min="4101" max="4350" width="10" style="75"/>
    <col min="4351" max="4351" width="33" style="75" customWidth="1"/>
    <col min="4352" max="4352" width="9.375" style="75" customWidth="1"/>
    <col min="4353" max="4353" width="30.5" style="75" customWidth="1"/>
    <col min="4354" max="4354" width="33.7583333333333" style="75" customWidth="1"/>
    <col min="4355" max="4356" width="8.875" style="75" customWidth="1"/>
    <col min="4357" max="4606" width="10" style="75"/>
    <col min="4607" max="4607" width="33" style="75" customWidth="1"/>
    <col min="4608" max="4608" width="9.375" style="75" customWidth="1"/>
    <col min="4609" max="4609" width="30.5" style="75" customWidth="1"/>
    <col min="4610" max="4610" width="33.7583333333333" style="75" customWidth="1"/>
    <col min="4611" max="4612" width="8.875" style="75" customWidth="1"/>
    <col min="4613" max="4862" width="10" style="75"/>
    <col min="4863" max="4863" width="33" style="75" customWidth="1"/>
    <col min="4864" max="4864" width="9.375" style="75" customWidth="1"/>
    <col min="4865" max="4865" width="30.5" style="75" customWidth="1"/>
    <col min="4866" max="4866" width="33.7583333333333" style="75" customWidth="1"/>
    <col min="4867" max="4868" width="8.875" style="75" customWidth="1"/>
    <col min="4869" max="5118" width="10" style="75"/>
    <col min="5119" max="5119" width="33" style="75" customWidth="1"/>
    <col min="5120" max="5120" width="9.375" style="75" customWidth="1"/>
    <col min="5121" max="5121" width="30.5" style="75" customWidth="1"/>
    <col min="5122" max="5122" width="33.7583333333333" style="75" customWidth="1"/>
    <col min="5123" max="5124" width="8.875" style="75" customWidth="1"/>
    <col min="5125" max="5374" width="10" style="75"/>
    <col min="5375" max="5375" width="33" style="75" customWidth="1"/>
    <col min="5376" max="5376" width="9.375" style="75" customWidth="1"/>
    <col min="5377" max="5377" width="30.5" style="75" customWidth="1"/>
    <col min="5378" max="5378" width="33.7583333333333" style="75" customWidth="1"/>
    <col min="5379" max="5380" width="8.875" style="75" customWidth="1"/>
    <col min="5381" max="5630" width="10" style="75"/>
    <col min="5631" max="5631" width="33" style="75" customWidth="1"/>
    <col min="5632" max="5632" width="9.375" style="75" customWidth="1"/>
    <col min="5633" max="5633" width="30.5" style="75" customWidth="1"/>
    <col min="5634" max="5634" width="33.7583333333333" style="75" customWidth="1"/>
    <col min="5635" max="5636" width="8.875" style="75" customWidth="1"/>
    <col min="5637" max="5886" width="10" style="75"/>
    <col min="5887" max="5887" width="33" style="75" customWidth="1"/>
    <col min="5888" max="5888" width="9.375" style="75" customWidth="1"/>
    <col min="5889" max="5889" width="30.5" style="75" customWidth="1"/>
    <col min="5890" max="5890" width="33.7583333333333" style="75" customWidth="1"/>
    <col min="5891" max="5892" width="8.875" style="75" customWidth="1"/>
    <col min="5893" max="6142" width="10" style="75"/>
    <col min="6143" max="6143" width="33" style="75" customWidth="1"/>
    <col min="6144" max="6144" width="9.375" style="75" customWidth="1"/>
    <col min="6145" max="6145" width="30.5" style="75" customWidth="1"/>
    <col min="6146" max="6146" width="33.7583333333333" style="75" customWidth="1"/>
    <col min="6147" max="6148" width="8.875" style="75" customWidth="1"/>
    <col min="6149" max="6398" width="10" style="75"/>
    <col min="6399" max="6399" width="33" style="75" customWidth="1"/>
    <col min="6400" max="6400" width="9.375" style="75" customWidth="1"/>
    <col min="6401" max="6401" width="30.5" style="75" customWidth="1"/>
    <col min="6402" max="6402" width="33.7583333333333" style="75" customWidth="1"/>
    <col min="6403" max="6404" width="8.875" style="75" customWidth="1"/>
    <col min="6405" max="6654" width="10" style="75"/>
    <col min="6655" max="6655" width="33" style="75" customWidth="1"/>
    <col min="6656" max="6656" width="9.375" style="75" customWidth="1"/>
    <col min="6657" max="6657" width="30.5" style="75" customWidth="1"/>
    <col min="6658" max="6658" width="33.7583333333333" style="75" customWidth="1"/>
    <col min="6659" max="6660" width="8.875" style="75" customWidth="1"/>
    <col min="6661" max="6910" width="10" style="75"/>
    <col min="6911" max="6911" width="33" style="75" customWidth="1"/>
    <col min="6912" max="6912" width="9.375" style="75" customWidth="1"/>
    <col min="6913" max="6913" width="30.5" style="75" customWidth="1"/>
    <col min="6914" max="6914" width="33.7583333333333" style="75" customWidth="1"/>
    <col min="6915" max="6916" width="8.875" style="75" customWidth="1"/>
    <col min="6917" max="7166" width="10" style="75"/>
    <col min="7167" max="7167" width="33" style="75" customWidth="1"/>
    <col min="7168" max="7168" width="9.375" style="75" customWidth="1"/>
    <col min="7169" max="7169" width="30.5" style="75" customWidth="1"/>
    <col min="7170" max="7170" width="33.7583333333333" style="75" customWidth="1"/>
    <col min="7171" max="7172" width="8.875" style="75" customWidth="1"/>
    <col min="7173" max="7422" width="10" style="75"/>
    <col min="7423" max="7423" width="33" style="75" customWidth="1"/>
    <col min="7424" max="7424" width="9.375" style="75" customWidth="1"/>
    <col min="7425" max="7425" width="30.5" style="75" customWidth="1"/>
    <col min="7426" max="7426" width="33.7583333333333" style="75" customWidth="1"/>
    <col min="7427" max="7428" width="8.875" style="75" customWidth="1"/>
    <col min="7429" max="7678" width="10" style="75"/>
    <col min="7679" max="7679" width="33" style="75" customWidth="1"/>
    <col min="7680" max="7680" width="9.375" style="75" customWidth="1"/>
    <col min="7681" max="7681" width="30.5" style="75" customWidth="1"/>
    <col min="7682" max="7682" width="33.7583333333333" style="75" customWidth="1"/>
    <col min="7683" max="7684" width="8.875" style="75" customWidth="1"/>
    <col min="7685" max="7934" width="10" style="75"/>
    <col min="7935" max="7935" width="33" style="75" customWidth="1"/>
    <col min="7936" max="7936" width="9.375" style="75" customWidth="1"/>
    <col min="7937" max="7937" width="30.5" style="75" customWidth="1"/>
    <col min="7938" max="7938" width="33.7583333333333" style="75" customWidth="1"/>
    <col min="7939" max="7940" width="8.875" style="75" customWidth="1"/>
    <col min="7941" max="8190" width="10" style="75"/>
    <col min="8191" max="8191" width="33" style="75" customWidth="1"/>
    <col min="8192" max="8192" width="9.375" style="75" customWidth="1"/>
    <col min="8193" max="8193" width="30.5" style="75" customWidth="1"/>
    <col min="8194" max="8194" width="33.7583333333333" style="75" customWidth="1"/>
    <col min="8195" max="8196" width="8.875" style="75" customWidth="1"/>
    <col min="8197" max="8446" width="10" style="75"/>
    <col min="8447" max="8447" width="33" style="75" customWidth="1"/>
    <col min="8448" max="8448" width="9.375" style="75" customWidth="1"/>
    <col min="8449" max="8449" width="30.5" style="75" customWidth="1"/>
    <col min="8450" max="8450" width="33.7583333333333" style="75" customWidth="1"/>
    <col min="8451" max="8452" width="8.875" style="75" customWidth="1"/>
    <col min="8453" max="8702" width="10" style="75"/>
    <col min="8703" max="8703" width="33" style="75" customWidth="1"/>
    <col min="8704" max="8704" width="9.375" style="75" customWidth="1"/>
    <col min="8705" max="8705" width="30.5" style="75" customWidth="1"/>
    <col min="8706" max="8706" width="33.7583333333333" style="75" customWidth="1"/>
    <col min="8707" max="8708" width="8.875" style="75" customWidth="1"/>
    <col min="8709" max="8958" width="10" style="75"/>
    <col min="8959" max="8959" width="33" style="75" customWidth="1"/>
    <col min="8960" max="8960" width="9.375" style="75" customWidth="1"/>
    <col min="8961" max="8961" width="30.5" style="75" customWidth="1"/>
    <col min="8962" max="8962" width="33.7583333333333" style="75" customWidth="1"/>
    <col min="8963" max="8964" width="8.875" style="75" customWidth="1"/>
    <col min="8965" max="9214" width="10" style="75"/>
    <col min="9215" max="9215" width="33" style="75" customWidth="1"/>
    <col min="9216" max="9216" width="9.375" style="75" customWidth="1"/>
    <col min="9217" max="9217" width="30.5" style="75" customWidth="1"/>
    <col min="9218" max="9218" width="33.7583333333333" style="75" customWidth="1"/>
    <col min="9219" max="9220" width="8.875" style="75" customWidth="1"/>
    <col min="9221" max="9470" width="10" style="75"/>
    <col min="9471" max="9471" width="33" style="75" customWidth="1"/>
    <col min="9472" max="9472" width="9.375" style="75" customWidth="1"/>
    <col min="9473" max="9473" width="30.5" style="75" customWidth="1"/>
    <col min="9474" max="9474" width="33.7583333333333" style="75" customWidth="1"/>
    <col min="9475" max="9476" width="8.875" style="75" customWidth="1"/>
    <col min="9477" max="9726" width="10" style="75"/>
    <col min="9727" max="9727" width="33" style="75" customWidth="1"/>
    <col min="9728" max="9728" width="9.375" style="75" customWidth="1"/>
    <col min="9729" max="9729" width="30.5" style="75" customWidth="1"/>
    <col min="9730" max="9730" width="33.7583333333333" style="75" customWidth="1"/>
    <col min="9731" max="9732" width="8.875" style="75" customWidth="1"/>
    <col min="9733" max="9982" width="10" style="75"/>
    <col min="9983" max="9983" width="33" style="75" customWidth="1"/>
    <col min="9984" max="9984" width="9.375" style="75" customWidth="1"/>
    <col min="9985" max="9985" width="30.5" style="75" customWidth="1"/>
    <col min="9986" max="9986" width="33.7583333333333" style="75" customWidth="1"/>
    <col min="9987" max="9988" width="8.875" style="75" customWidth="1"/>
    <col min="9989" max="10238" width="10" style="75"/>
    <col min="10239" max="10239" width="33" style="75" customWidth="1"/>
    <col min="10240" max="10240" width="9.375" style="75" customWidth="1"/>
    <col min="10241" max="10241" width="30.5" style="75" customWidth="1"/>
    <col min="10242" max="10242" width="33.7583333333333" style="75" customWidth="1"/>
    <col min="10243" max="10244" width="8.875" style="75" customWidth="1"/>
    <col min="10245" max="10494" width="10" style="75"/>
    <col min="10495" max="10495" width="33" style="75" customWidth="1"/>
    <col min="10496" max="10496" width="9.375" style="75" customWidth="1"/>
    <col min="10497" max="10497" width="30.5" style="75" customWidth="1"/>
    <col min="10498" max="10498" width="33.7583333333333" style="75" customWidth="1"/>
    <col min="10499" max="10500" width="8.875" style="75" customWidth="1"/>
    <col min="10501" max="10750" width="10" style="75"/>
    <col min="10751" max="10751" width="33" style="75" customWidth="1"/>
    <col min="10752" max="10752" width="9.375" style="75" customWidth="1"/>
    <col min="10753" max="10753" width="30.5" style="75" customWidth="1"/>
    <col min="10754" max="10754" width="33.7583333333333" style="75" customWidth="1"/>
    <col min="10755" max="10756" width="8.875" style="75" customWidth="1"/>
    <col min="10757" max="11006" width="10" style="75"/>
    <col min="11007" max="11007" width="33" style="75" customWidth="1"/>
    <col min="11008" max="11008" width="9.375" style="75" customWidth="1"/>
    <col min="11009" max="11009" width="30.5" style="75" customWidth="1"/>
    <col min="11010" max="11010" width="33.7583333333333" style="75" customWidth="1"/>
    <col min="11011" max="11012" width="8.875" style="75" customWidth="1"/>
    <col min="11013" max="11262" width="10" style="75"/>
    <col min="11263" max="11263" width="33" style="75" customWidth="1"/>
    <col min="11264" max="11264" width="9.375" style="75" customWidth="1"/>
    <col min="11265" max="11265" width="30.5" style="75" customWidth="1"/>
    <col min="11266" max="11266" width="33.7583333333333" style="75" customWidth="1"/>
    <col min="11267" max="11268" width="8.875" style="75" customWidth="1"/>
    <col min="11269" max="11518" width="10" style="75"/>
    <col min="11519" max="11519" width="33" style="75" customWidth="1"/>
    <col min="11520" max="11520" width="9.375" style="75" customWidth="1"/>
    <col min="11521" max="11521" width="30.5" style="75" customWidth="1"/>
    <col min="11522" max="11522" width="33.7583333333333" style="75" customWidth="1"/>
    <col min="11523" max="11524" width="8.875" style="75" customWidth="1"/>
    <col min="11525" max="11774" width="10" style="75"/>
    <col min="11775" max="11775" width="33" style="75" customWidth="1"/>
    <col min="11776" max="11776" width="9.375" style="75" customWidth="1"/>
    <col min="11777" max="11777" width="30.5" style="75" customWidth="1"/>
    <col min="11778" max="11778" width="33.7583333333333" style="75" customWidth="1"/>
    <col min="11779" max="11780" width="8.875" style="75" customWidth="1"/>
    <col min="11781" max="12030" width="10" style="75"/>
    <col min="12031" max="12031" width="33" style="75" customWidth="1"/>
    <col min="12032" max="12032" width="9.375" style="75" customWidth="1"/>
    <col min="12033" max="12033" width="30.5" style="75" customWidth="1"/>
    <col min="12034" max="12034" width="33.7583333333333" style="75" customWidth="1"/>
    <col min="12035" max="12036" width="8.875" style="75" customWidth="1"/>
    <col min="12037" max="12286" width="10" style="75"/>
    <col min="12287" max="12287" width="33" style="75" customWidth="1"/>
    <col min="12288" max="12288" width="9.375" style="75" customWidth="1"/>
    <col min="12289" max="12289" width="30.5" style="75" customWidth="1"/>
    <col min="12290" max="12290" width="33.7583333333333" style="75" customWidth="1"/>
    <col min="12291" max="12292" width="8.875" style="75" customWidth="1"/>
    <col min="12293" max="12542" width="10" style="75"/>
    <col min="12543" max="12543" width="33" style="75" customWidth="1"/>
    <col min="12544" max="12544" width="9.375" style="75" customWidth="1"/>
    <col min="12545" max="12545" width="30.5" style="75" customWidth="1"/>
    <col min="12546" max="12546" width="33.7583333333333" style="75" customWidth="1"/>
    <col min="12547" max="12548" width="8.875" style="75" customWidth="1"/>
    <col min="12549" max="12798" width="10" style="75"/>
    <col min="12799" max="12799" width="33" style="75" customWidth="1"/>
    <col min="12800" max="12800" width="9.375" style="75" customWidth="1"/>
    <col min="12801" max="12801" width="30.5" style="75" customWidth="1"/>
    <col min="12802" max="12802" width="33.7583333333333" style="75" customWidth="1"/>
    <col min="12803" max="12804" width="8.875" style="75" customWidth="1"/>
    <col min="12805" max="13054" width="10" style="75"/>
    <col min="13055" max="13055" width="33" style="75" customWidth="1"/>
    <col min="13056" max="13056" width="9.375" style="75" customWidth="1"/>
    <col min="13057" max="13057" width="30.5" style="75" customWidth="1"/>
    <col min="13058" max="13058" width="33.7583333333333" style="75" customWidth="1"/>
    <col min="13059" max="13060" width="8.875" style="75" customWidth="1"/>
    <col min="13061" max="13310" width="10" style="75"/>
    <col min="13311" max="13311" width="33" style="75" customWidth="1"/>
    <col min="13312" max="13312" width="9.375" style="75" customWidth="1"/>
    <col min="13313" max="13313" width="30.5" style="75" customWidth="1"/>
    <col min="13314" max="13314" width="33.7583333333333" style="75" customWidth="1"/>
    <col min="13315" max="13316" width="8.875" style="75" customWidth="1"/>
    <col min="13317" max="13566" width="10" style="75"/>
    <col min="13567" max="13567" width="33" style="75" customWidth="1"/>
    <col min="13568" max="13568" width="9.375" style="75" customWidth="1"/>
    <col min="13569" max="13569" width="30.5" style="75" customWidth="1"/>
    <col min="13570" max="13570" width="33.7583333333333" style="75" customWidth="1"/>
    <col min="13571" max="13572" width="8.875" style="75" customWidth="1"/>
    <col min="13573" max="13822" width="10" style="75"/>
    <col min="13823" max="13823" width="33" style="75" customWidth="1"/>
    <col min="13824" max="13824" width="9.375" style="75" customWidth="1"/>
    <col min="13825" max="13825" width="30.5" style="75" customWidth="1"/>
    <col min="13826" max="13826" width="33.7583333333333" style="75" customWidth="1"/>
    <col min="13827" max="13828" width="8.875" style="75" customWidth="1"/>
    <col min="13829" max="14078" width="10" style="75"/>
    <col min="14079" max="14079" width="33" style="75" customWidth="1"/>
    <col min="14080" max="14080" width="9.375" style="75" customWidth="1"/>
    <col min="14081" max="14081" width="30.5" style="75" customWidth="1"/>
    <col min="14082" max="14082" width="33.7583333333333" style="75" customWidth="1"/>
    <col min="14083" max="14084" width="8.875" style="75" customWidth="1"/>
    <col min="14085" max="14334" width="10" style="75"/>
    <col min="14335" max="14335" width="33" style="75" customWidth="1"/>
    <col min="14336" max="14336" width="9.375" style="75" customWidth="1"/>
    <col min="14337" max="14337" width="30.5" style="75" customWidth="1"/>
    <col min="14338" max="14338" width="33.7583333333333" style="75" customWidth="1"/>
    <col min="14339" max="14340" width="8.875" style="75" customWidth="1"/>
    <col min="14341" max="14590" width="10" style="75"/>
    <col min="14591" max="14591" width="33" style="75" customWidth="1"/>
    <col min="14592" max="14592" width="9.375" style="75" customWidth="1"/>
    <col min="14593" max="14593" width="30.5" style="75" customWidth="1"/>
    <col min="14594" max="14594" width="33.7583333333333" style="75" customWidth="1"/>
    <col min="14595" max="14596" width="8.875" style="75" customWidth="1"/>
    <col min="14597" max="14846" width="10" style="75"/>
    <col min="14847" max="14847" width="33" style="75" customWidth="1"/>
    <col min="14848" max="14848" width="9.375" style="75" customWidth="1"/>
    <col min="14849" max="14849" width="30.5" style="75" customWidth="1"/>
    <col min="14850" max="14850" width="33.7583333333333" style="75" customWidth="1"/>
    <col min="14851" max="14852" width="8.875" style="75" customWidth="1"/>
    <col min="14853" max="15102" width="10" style="75"/>
    <col min="15103" max="15103" width="33" style="75" customWidth="1"/>
    <col min="15104" max="15104" width="9.375" style="75" customWidth="1"/>
    <col min="15105" max="15105" width="30.5" style="75" customWidth="1"/>
    <col min="15106" max="15106" width="33.7583333333333" style="75" customWidth="1"/>
    <col min="15107" max="15108" width="8.875" style="75" customWidth="1"/>
    <col min="15109" max="15358" width="10" style="75"/>
    <col min="15359" max="15359" width="33" style="75" customWidth="1"/>
    <col min="15360" max="15360" width="9.375" style="75" customWidth="1"/>
    <col min="15361" max="15361" width="30.5" style="75" customWidth="1"/>
    <col min="15362" max="15362" width="33.7583333333333" style="75" customWidth="1"/>
    <col min="15363" max="15364" width="8.875" style="75" customWidth="1"/>
    <col min="15365" max="15614" width="10" style="75"/>
    <col min="15615" max="15615" width="33" style="75" customWidth="1"/>
    <col min="15616" max="15616" width="9.375" style="75" customWidth="1"/>
    <col min="15617" max="15617" width="30.5" style="75" customWidth="1"/>
    <col min="15618" max="15618" width="33.7583333333333" style="75" customWidth="1"/>
    <col min="15619" max="15620" width="8.875" style="75" customWidth="1"/>
    <col min="15621" max="15870" width="10" style="75"/>
    <col min="15871" max="15871" width="33" style="75" customWidth="1"/>
    <col min="15872" max="15872" width="9.375" style="75" customWidth="1"/>
    <col min="15873" max="15873" width="30.5" style="75" customWidth="1"/>
    <col min="15874" max="15874" width="33.7583333333333" style="75" customWidth="1"/>
    <col min="15875" max="15876" width="8.875" style="75" customWidth="1"/>
    <col min="15877" max="16126" width="10" style="75"/>
    <col min="16127" max="16127" width="33" style="75" customWidth="1"/>
    <col min="16128" max="16128" width="9.375" style="75" customWidth="1"/>
    <col min="16129" max="16129" width="30.5" style="75" customWidth="1"/>
    <col min="16130" max="16130" width="33.7583333333333" style="75" customWidth="1"/>
    <col min="16131" max="16132" width="8.875" style="75" customWidth="1"/>
    <col min="16133" max="16384" width="10" style="75"/>
  </cols>
  <sheetData>
    <row r="1" spans="1:5">
      <c r="A1" s="30" t="s">
        <v>0</v>
      </c>
      <c r="B1" s="77" t="s">
        <v>1</v>
      </c>
      <c r="C1" s="77" t="s">
        <v>2</v>
      </c>
      <c r="D1" s="77" t="s">
        <v>3</v>
      </c>
      <c r="E1" s="77" t="s">
        <v>4</v>
      </c>
    </row>
    <row r="2" spans="1:5">
      <c r="A2" s="75" t="s">
        <v>514</v>
      </c>
      <c r="B2" s="78">
        <v>20211488</v>
      </c>
      <c r="C2" s="78" t="s">
        <v>515</v>
      </c>
      <c r="D2" s="79" t="s">
        <v>7</v>
      </c>
      <c r="E2" s="80">
        <v>1</v>
      </c>
    </row>
    <row r="3" spans="1:5">
      <c r="A3" s="75" t="s">
        <v>514</v>
      </c>
      <c r="B3" s="78">
        <v>20211489</v>
      </c>
      <c r="C3" s="78" t="s">
        <v>515</v>
      </c>
      <c r="D3" s="79" t="s">
        <v>7</v>
      </c>
      <c r="E3" s="80">
        <v>1</v>
      </c>
    </row>
    <row r="4" spans="1:5">
      <c r="A4" s="75" t="s">
        <v>514</v>
      </c>
      <c r="B4" s="78">
        <v>20211490</v>
      </c>
      <c r="C4" s="78" t="s">
        <v>515</v>
      </c>
      <c r="D4" s="79" t="s">
        <v>7</v>
      </c>
      <c r="E4" s="80">
        <v>1</v>
      </c>
    </row>
    <row r="5" spans="1:5">
      <c r="A5" s="75" t="s">
        <v>514</v>
      </c>
      <c r="B5" s="78">
        <v>20211491</v>
      </c>
      <c r="C5" s="78" t="s">
        <v>515</v>
      </c>
      <c r="D5" s="79" t="s">
        <v>7</v>
      </c>
      <c r="E5" s="80">
        <v>1</v>
      </c>
    </row>
    <row r="6" spans="1:5">
      <c r="A6" s="75" t="s">
        <v>514</v>
      </c>
      <c r="B6" s="78">
        <v>20211492</v>
      </c>
      <c r="C6" s="78" t="s">
        <v>515</v>
      </c>
      <c r="D6" s="79" t="s">
        <v>7</v>
      </c>
      <c r="E6" s="80">
        <v>1</v>
      </c>
    </row>
    <row r="7" spans="1:5">
      <c r="A7" s="75" t="s">
        <v>514</v>
      </c>
      <c r="B7" s="78">
        <v>20211493</v>
      </c>
      <c r="C7" s="78" t="s">
        <v>516</v>
      </c>
      <c r="D7" s="79" t="s">
        <v>7</v>
      </c>
      <c r="E7" s="80">
        <v>1</v>
      </c>
    </row>
    <row r="8" spans="1:5">
      <c r="A8" s="75" t="s">
        <v>514</v>
      </c>
      <c r="B8" s="78">
        <v>20211494</v>
      </c>
      <c r="C8" s="78" t="s">
        <v>517</v>
      </c>
      <c r="D8" s="79" t="s">
        <v>7</v>
      </c>
      <c r="E8" s="80">
        <v>1</v>
      </c>
    </row>
    <row r="9" spans="1:5">
      <c r="A9" s="75" t="s">
        <v>514</v>
      </c>
      <c r="B9" s="78">
        <v>20180327</v>
      </c>
      <c r="C9" s="78" t="s">
        <v>518</v>
      </c>
      <c r="D9" s="79" t="s">
        <v>7</v>
      </c>
      <c r="E9" s="80">
        <v>1</v>
      </c>
    </row>
    <row r="10" spans="1:5">
      <c r="A10" s="75" t="s">
        <v>514</v>
      </c>
      <c r="B10" s="78">
        <v>20180328</v>
      </c>
      <c r="C10" s="78" t="s">
        <v>518</v>
      </c>
      <c r="D10" s="79" t="s">
        <v>7</v>
      </c>
      <c r="E10" s="80">
        <v>1</v>
      </c>
    </row>
    <row r="11" spans="1:5">
      <c r="A11" s="75" t="s">
        <v>514</v>
      </c>
      <c r="B11" s="78">
        <v>20180329</v>
      </c>
      <c r="C11" s="78" t="s">
        <v>519</v>
      </c>
      <c r="D11" s="79" t="s">
        <v>7</v>
      </c>
      <c r="E11" s="80">
        <v>1</v>
      </c>
    </row>
    <row r="12" spans="1:5">
      <c r="A12" s="75" t="s">
        <v>514</v>
      </c>
      <c r="B12" s="78">
        <v>20181057</v>
      </c>
      <c r="C12" s="78" t="s">
        <v>520</v>
      </c>
      <c r="D12" s="79" t="s">
        <v>7</v>
      </c>
      <c r="E12" s="80">
        <v>1</v>
      </c>
    </row>
    <row r="13" spans="1:5">
      <c r="A13" s="75" t="s">
        <v>514</v>
      </c>
      <c r="B13" s="78">
        <v>20181063</v>
      </c>
      <c r="C13" s="78" t="s">
        <v>521</v>
      </c>
      <c r="D13" s="79" t="s">
        <v>7</v>
      </c>
      <c r="E13" s="80">
        <v>1</v>
      </c>
    </row>
    <row r="14" spans="1:5">
      <c r="A14" s="75" t="s">
        <v>514</v>
      </c>
      <c r="B14" s="78">
        <v>20220702</v>
      </c>
      <c r="C14" s="78" t="s">
        <v>522</v>
      </c>
      <c r="D14" s="79" t="s">
        <v>7</v>
      </c>
      <c r="E14" s="80">
        <v>1</v>
      </c>
    </row>
    <row r="15" spans="1:5">
      <c r="A15" s="75" t="s">
        <v>514</v>
      </c>
      <c r="B15" s="78">
        <v>20220703</v>
      </c>
      <c r="C15" s="78" t="s">
        <v>523</v>
      </c>
      <c r="D15" s="79" t="s">
        <v>7</v>
      </c>
      <c r="E15" s="80">
        <v>1</v>
      </c>
    </row>
    <row r="16" spans="1:5">
      <c r="A16" s="75" t="s">
        <v>514</v>
      </c>
      <c r="B16" s="78">
        <v>20220704</v>
      </c>
      <c r="C16" s="78" t="s">
        <v>524</v>
      </c>
      <c r="D16" s="79" t="s">
        <v>7</v>
      </c>
      <c r="E16" s="80">
        <v>1</v>
      </c>
    </row>
    <row r="17" spans="1:5">
      <c r="A17" s="75" t="s">
        <v>514</v>
      </c>
      <c r="B17" s="78">
        <v>20220705</v>
      </c>
      <c r="C17" s="78" t="s">
        <v>525</v>
      </c>
      <c r="D17" s="79" t="s">
        <v>7</v>
      </c>
      <c r="E17" s="80">
        <v>1</v>
      </c>
    </row>
    <row r="18" spans="1:5">
      <c r="A18" s="75" t="s">
        <v>514</v>
      </c>
      <c r="B18" s="78">
        <v>20220706</v>
      </c>
      <c r="C18" s="78" t="s">
        <v>526</v>
      </c>
      <c r="D18" s="79" t="s">
        <v>7</v>
      </c>
      <c r="E18" s="80">
        <v>1</v>
      </c>
    </row>
    <row r="19" spans="1:5">
      <c r="A19" s="75" t="s">
        <v>514</v>
      </c>
      <c r="B19" s="78">
        <v>20230012</v>
      </c>
      <c r="C19" s="78" t="s">
        <v>108</v>
      </c>
      <c r="D19" s="79" t="s">
        <v>7</v>
      </c>
      <c r="E19" s="80">
        <v>1</v>
      </c>
    </row>
    <row r="20" spans="1:5">
      <c r="A20" s="75" t="s">
        <v>514</v>
      </c>
      <c r="B20" s="78">
        <v>20230558</v>
      </c>
      <c r="C20" s="78" t="s">
        <v>527</v>
      </c>
      <c r="D20" s="79" t="s">
        <v>7</v>
      </c>
      <c r="E20" s="80">
        <v>1</v>
      </c>
    </row>
    <row r="21" spans="1:5">
      <c r="A21" s="75" t="s">
        <v>514</v>
      </c>
      <c r="B21" s="78">
        <v>20230559</v>
      </c>
      <c r="C21" s="78" t="s">
        <v>527</v>
      </c>
      <c r="D21" s="79" t="s">
        <v>7</v>
      </c>
      <c r="E21" s="80">
        <v>1</v>
      </c>
    </row>
    <row r="22" spans="1:5">
      <c r="A22" s="75" t="s">
        <v>514</v>
      </c>
      <c r="B22" s="78">
        <v>20230575</v>
      </c>
      <c r="C22" s="78" t="s">
        <v>528</v>
      </c>
      <c r="D22" s="79" t="s">
        <v>7</v>
      </c>
      <c r="E22" s="80">
        <v>1</v>
      </c>
    </row>
    <row r="23" spans="1:5">
      <c r="A23" s="75" t="s">
        <v>514</v>
      </c>
      <c r="B23" s="78">
        <v>20230576</v>
      </c>
      <c r="C23" s="78" t="s">
        <v>528</v>
      </c>
      <c r="D23" s="79" t="s">
        <v>7</v>
      </c>
      <c r="E23" s="80">
        <v>1</v>
      </c>
    </row>
    <row r="24" spans="1:5">
      <c r="A24" s="75" t="s">
        <v>514</v>
      </c>
      <c r="B24" s="78">
        <v>20230577</v>
      </c>
      <c r="C24" s="78" t="s">
        <v>528</v>
      </c>
      <c r="D24" s="79" t="s">
        <v>7</v>
      </c>
      <c r="E24" s="80">
        <v>1</v>
      </c>
    </row>
    <row r="25" spans="1:5">
      <c r="A25" s="75" t="s">
        <v>514</v>
      </c>
      <c r="B25" s="78">
        <v>20230578</v>
      </c>
      <c r="C25" s="78" t="s">
        <v>528</v>
      </c>
      <c r="D25" s="79" t="s">
        <v>7</v>
      </c>
      <c r="E25" s="80">
        <v>1</v>
      </c>
    </row>
    <row r="26" spans="1:5">
      <c r="A26" s="75" t="s">
        <v>514</v>
      </c>
      <c r="B26" s="78">
        <v>20230579</v>
      </c>
      <c r="C26" s="78" t="s">
        <v>529</v>
      </c>
      <c r="D26" s="79" t="s">
        <v>7</v>
      </c>
      <c r="E26" s="80">
        <v>1</v>
      </c>
    </row>
    <row r="27" spans="1:5">
      <c r="A27" s="75" t="s">
        <v>514</v>
      </c>
      <c r="B27" s="78">
        <v>20230580</v>
      </c>
      <c r="C27" s="78" t="s">
        <v>529</v>
      </c>
      <c r="D27" s="79" t="s">
        <v>7</v>
      </c>
      <c r="E27" s="80">
        <v>1</v>
      </c>
    </row>
    <row r="28" spans="1:5">
      <c r="A28" s="75" t="s">
        <v>514</v>
      </c>
      <c r="B28" s="78">
        <v>20230581</v>
      </c>
      <c r="C28" s="78" t="s">
        <v>529</v>
      </c>
      <c r="D28" s="79" t="s">
        <v>7</v>
      </c>
      <c r="E28" s="80">
        <v>1</v>
      </c>
    </row>
    <row r="29" spans="1:5">
      <c r="A29" s="75" t="s">
        <v>514</v>
      </c>
      <c r="B29" s="78">
        <v>20230582</v>
      </c>
      <c r="C29" s="78" t="s">
        <v>529</v>
      </c>
      <c r="D29" s="79" t="s">
        <v>7</v>
      </c>
      <c r="E29" s="80">
        <v>1</v>
      </c>
    </row>
    <row r="30" spans="1:5">
      <c r="A30" s="75" t="s">
        <v>514</v>
      </c>
      <c r="B30" s="78">
        <v>20230585</v>
      </c>
      <c r="C30" s="78" t="s">
        <v>527</v>
      </c>
      <c r="D30" s="79" t="s">
        <v>7</v>
      </c>
      <c r="E30" s="80">
        <v>1</v>
      </c>
    </row>
    <row r="31" spans="1:5">
      <c r="A31" s="75" t="s">
        <v>514</v>
      </c>
      <c r="B31" s="78">
        <v>20230586</v>
      </c>
      <c r="C31" s="78" t="s">
        <v>527</v>
      </c>
      <c r="D31" s="79" t="s">
        <v>7</v>
      </c>
      <c r="E31" s="80">
        <v>1</v>
      </c>
    </row>
    <row r="32" spans="1:5">
      <c r="A32" s="75" t="s">
        <v>514</v>
      </c>
      <c r="B32" s="78">
        <v>20220707</v>
      </c>
      <c r="C32" s="78" t="s">
        <v>530</v>
      </c>
      <c r="D32" s="79" t="s">
        <v>7</v>
      </c>
      <c r="E32" s="80">
        <v>1</v>
      </c>
    </row>
    <row r="33" spans="1:5">
      <c r="A33" s="75" t="s">
        <v>514</v>
      </c>
      <c r="B33" s="78">
        <v>20220710</v>
      </c>
      <c r="C33" s="78" t="s">
        <v>531</v>
      </c>
      <c r="D33" s="79" t="s">
        <v>7</v>
      </c>
      <c r="E33" s="80">
        <v>1</v>
      </c>
    </row>
    <row r="34" spans="1:5">
      <c r="A34" s="75" t="s">
        <v>514</v>
      </c>
      <c r="B34" s="78">
        <v>20230548</v>
      </c>
      <c r="C34" s="78" t="s">
        <v>528</v>
      </c>
      <c r="D34" s="79" t="s">
        <v>7</v>
      </c>
      <c r="E34" s="80">
        <v>1</v>
      </c>
    </row>
    <row r="35" spans="1:5">
      <c r="A35" s="75" t="s">
        <v>514</v>
      </c>
      <c r="B35" s="78">
        <v>20230549</v>
      </c>
      <c r="C35" s="78" t="s">
        <v>528</v>
      </c>
      <c r="D35" s="79" t="s">
        <v>7</v>
      </c>
      <c r="E35" s="80">
        <v>1</v>
      </c>
    </row>
    <row r="36" spans="1:5">
      <c r="A36" s="75" t="s">
        <v>514</v>
      </c>
      <c r="B36" s="78">
        <v>20230550</v>
      </c>
      <c r="C36" s="78" t="s">
        <v>528</v>
      </c>
      <c r="D36" s="79" t="s">
        <v>7</v>
      </c>
      <c r="E36" s="80">
        <v>1</v>
      </c>
    </row>
    <row r="37" spans="1:5">
      <c r="A37" s="75" t="s">
        <v>514</v>
      </c>
      <c r="B37" s="78">
        <v>20230551</v>
      </c>
      <c r="C37" s="78" t="s">
        <v>528</v>
      </c>
      <c r="D37" s="79" t="s">
        <v>7</v>
      </c>
      <c r="E37" s="80">
        <v>1</v>
      </c>
    </row>
    <row r="38" spans="1:5">
      <c r="A38" s="75" t="s">
        <v>514</v>
      </c>
      <c r="B38" s="78">
        <v>20230552</v>
      </c>
      <c r="C38" s="78" t="s">
        <v>529</v>
      </c>
      <c r="D38" s="79" t="s">
        <v>7</v>
      </c>
      <c r="E38" s="80">
        <v>1</v>
      </c>
    </row>
    <row r="39" spans="1:5">
      <c r="A39" s="75" t="s">
        <v>514</v>
      </c>
      <c r="B39" s="78">
        <v>20230553</v>
      </c>
      <c r="C39" s="78" t="s">
        <v>529</v>
      </c>
      <c r="D39" s="79" t="s">
        <v>7</v>
      </c>
      <c r="E39" s="80">
        <v>1</v>
      </c>
    </row>
    <row r="40" spans="1:5">
      <c r="A40" s="75" t="s">
        <v>514</v>
      </c>
      <c r="B40" s="78">
        <v>20230554</v>
      </c>
      <c r="C40" s="78" t="s">
        <v>529</v>
      </c>
      <c r="D40" s="79" t="s">
        <v>7</v>
      </c>
      <c r="E40" s="80">
        <v>1</v>
      </c>
    </row>
    <row r="41" spans="1:5">
      <c r="A41" s="75" t="s">
        <v>514</v>
      </c>
      <c r="B41" s="78">
        <v>20230555</v>
      </c>
      <c r="C41" s="78" t="s">
        <v>529</v>
      </c>
      <c r="D41" s="79" t="s">
        <v>7</v>
      </c>
      <c r="E41" s="80">
        <v>1</v>
      </c>
    </row>
    <row r="42" spans="1:5">
      <c r="A42" s="75" t="s">
        <v>514</v>
      </c>
      <c r="B42" s="78">
        <v>20230556</v>
      </c>
      <c r="C42" s="78" t="s">
        <v>527</v>
      </c>
      <c r="D42" s="79" t="s">
        <v>7</v>
      </c>
      <c r="E42" s="80">
        <v>1</v>
      </c>
    </row>
    <row r="43" spans="1:5">
      <c r="A43" s="75" t="s">
        <v>514</v>
      </c>
      <c r="B43" s="78">
        <v>20230557</v>
      </c>
      <c r="C43" s="78" t="s">
        <v>527</v>
      </c>
      <c r="D43" s="79" t="s">
        <v>7</v>
      </c>
      <c r="E43" s="80">
        <v>1</v>
      </c>
    </row>
    <row r="44" spans="1:5">
      <c r="A44" s="75" t="s">
        <v>514</v>
      </c>
      <c r="B44" s="78">
        <v>20230583</v>
      </c>
      <c r="C44" s="78" t="s">
        <v>527</v>
      </c>
      <c r="D44" s="79" t="s">
        <v>7</v>
      </c>
      <c r="E44" s="80">
        <v>1</v>
      </c>
    </row>
    <row r="45" spans="1:5">
      <c r="A45" s="75" t="s">
        <v>514</v>
      </c>
      <c r="B45" s="78">
        <v>20230584</v>
      </c>
      <c r="C45" s="78" t="s">
        <v>527</v>
      </c>
      <c r="D45" s="79" t="s">
        <v>7</v>
      </c>
      <c r="E45" s="80">
        <v>1</v>
      </c>
    </row>
    <row r="46" spans="1:5">
      <c r="A46" s="75" t="s">
        <v>514</v>
      </c>
      <c r="B46" s="78">
        <v>20230013</v>
      </c>
      <c r="C46" s="78" t="s">
        <v>108</v>
      </c>
      <c r="D46" s="79" t="s">
        <v>7</v>
      </c>
      <c r="E46" s="80">
        <v>1</v>
      </c>
    </row>
    <row r="47" spans="1:5">
      <c r="A47" s="75" t="s">
        <v>514</v>
      </c>
      <c r="B47" s="78">
        <v>20220321</v>
      </c>
      <c r="C47" s="78" t="s">
        <v>532</v>
      </c>
      <c r="D47" s="79" t="s">
        <v>7</v>
      </c>
      <c r="E47" s="80">
        <v>1</v>
      </c>
    </row>
    <row r="48" spans="1:5">
      <c r="A48" s="75" t="s">
        <v>514</v>
      </c>
      <c r="B48" s="78">
        <v>20220711</v>
      </c>
      <c r="C48" s="78" t="s">
        <v>533</v>
      </c>
      <c r="D48" s="79" t="s">
        <v>7</v>
      </c>
      <c r="E48" s="80">
        <v>1</v>
      </c>
    </row>
    <row r="49" spans="1:5">
      <c r="A49" s="75" t="s">
        <v>514</v>
      </c>
      <c r="B49" s="78">
        <v>20220714</v>
      </c>
      <c r="C49" s="78" t="s">
        <v>534</v>
      </c>
      <c r="D49" s="79" t="s">
        <v>7</v>
      </c>
      <c r="E49" s="80">
        <v>1</v>
      </c>
    </row>
    <row r="50" spans="1:5">
      <c r="A50" s="75" t="s">
        <v>514</v>
      </c>
      <c r="B50" s="78">
        <v>20230014</v>
      </c>
      <c r="C50" s="78" t="s">
        <v>108</v>
      </c>
      <c r="D50" s="79" t="s">
        <v>7</v>
      </c>
      <c r="E50" s="80">
        <v>1</v>
      </c>
    </row>
    <row r="51" spans="1:5">
      <c r="A51" s="75" t="s">
        <v>514</v>
      </c>
      <c r="B51" s="78">
        <v>20230249</v>
      </c>
      <c r="C51" s="78" t="s">
        <v>96</v>
      </c>
      <c r="D51" s="79" t="s">
        <v>7</v>
      </c>
      <c r="E51" s="80">
        <v>1</v>
      </c>
    </row>
    <row r="52" spans="1:5">
      <c r="A52" s="75" t="s">
        <v>514</v>
      </c>
      <c r="B52" s="78">
        <v>20230250</v>
      </c>
      <c r="C52" s="78" t="s">
        <v>96</v>
      </c>
      <c r="D52" s="79" t="s">
        <v>7</v>
      </c>
      <c r="E52" s="80">
        <v>1</v>
      </c>
    </row>
    <row r="53" spans="1:5">
      <c r="A53" s="75" t="s">
        <v>514</v>
      </c>
      <c r="B53" s="78">
        <v>20230251</v>
      </c>
      <c r="C53" s="78" t="s">
        <v>96</v>
      </c>
      <c r="D53" s="79" t="s">
        <v>7</v>
      </c>
      <c r="E53" s="80">
        <v>1</v>
      </c>
    </row>
    <row r="54" spans="1:5">
      <c r="A54" s="75" t="s">
        <v>514</v>
      </c>
      <c r="B54" s="78">
        <v>20230252</v>
      </c>
      <c r="C54" s="78" t="s">
        <v>96</v>
      </c>
      <c r="D54" s="79" t="s">
        <v>7</v>
      </c>
      <c r="E54" s="80">
        <v>1</v>
      </c>
    </row>
    <row r="55" spans="1:5">
      <c r="A55" s="75" t="s">
        <v>514</v>
      </c>
      <c r="B55" s="78">
        <v>20231061</v>
      </c>
      <c r="C55" s="78" t="s">
        <v>535</v>
      </c>
      <c r="D55" s="79" t="s">
        <v>7</v>
      </c>
      <c r="E55" s="80">
        <v>1</v>
      </c>
    </row>
    <row r="56" spans="1:5">
      <c r="A56" s="75" t="s">
        <v>514</v>
      </c>
      <c r="B56" s="78">
        <v>20231016</v>
      </c>
      <c r="C56" s="78" t="s">
        <v>123</v>
      </c>
      <c r="D56" s="79" t="s">
        <v>7</v>
      </c>
      <c r="E56" s="80">
        <v>1</v>
      </c>
    </row>
    <row r="57" spans="1:5">
      <c r="A57" s="75" t="s">
        <v>514</v>
      </c>
      <c r="B57" s="78">
        <v>20231017</v>
      </c>
      <c r="C57" s="78" t="s">
        <v>123</v>
      </c>
      <c r="D57" s="79" t="s">
        <v>7</v>
      </c>
      <c r="E57" s="80">
        <v>1</v>
      </c>
    </row>
    <row r="58" spans="1:5">
      <c r="A58" s="75" t="s">
        <v>514</v>
      </c>
      <c r="B58" s="78">
        <v>20231018</v>
      </c>
      <c r="C58" s="78" t="s">
        <v>123</v>
      </c>
      <c r="D58" s="79" t="s">
        <v>7</v>
      </c>
      <c r="E58" s="80">
        <v>1</v>
      </c>
    </row>
    <row r="59" spans="1:5">
      <c r="A59" s="75" t="s">
        <v>514</v>
      </c>
      <c r="B59" s="78">
        <v>20231019</v>
      </c>
      <c r="C59" s="78" t="s">
        <v>123</v>
      </c>
      <c r="D59" s="79" t="s">
        <v>7</v>
      </c>
      <c r="E59" s="80">
        <v>1</v>
      </c>
    </row>
    <row r="60" spans="1:5">
      <c r="A60" s="75" t="s">
        <v>514</v>
      </c>
      <c r="B60" s="78">
        <v>20231020</v>
      </c>
      <c r="C60" s="78" t="s">
        <v>536</v>
      </c>
      <c r="D60" s="79" t="s">
        <v>7</v>
      </c>
      <c r="E60" s="80">
        <v>1</v>
      </c>
    </row>
    <row r="61" spans="1:5">
      <c r="A61" s="75" t="s">
        <v>514</v>
      </c>
      <c r="B61" s="78">
        <v>20231021</v>
      </c>
      <c r="C61" s="78" t="s">
        <v>537</v>
      </c>
      <c r="D61" s="79" t="s">
        <v>7</v>
      </c>
      <c r="E61" s="80">
        <v>1</v>
      </c>
    </row>
    <row r="62" spans="1:5">
      <c r="A62" s="75" t="s">
        <v>514</v>
      </c>
      <c r="B62" s="78">
        <v>20231149</v>
      </c>
      <c r="C62" s="78" t="s">
        <v>538</v>
      </c>
      <c r="D62" s="79" t="s">
        <v>7</v>
      </c>
      <c r="E62" s="80">
        <v>1</v>
      </c>
    </row>
    <row r="63" spans="1:5">
      <c r="A63" s="75" t="s">
        <v>514</v>
      </c>
      <c r="B63" s="78">
        <v>20230271</v>
      </c>
      <c r="C63" s="78" t="s">
        <v>539</v>
      </c>
      <c r="D63" s="79" t="s">
        <v>7</v>
      </c>
      <c r="E63" s="80">
        <v>1</v>
      </c>
    </row>
    <row r="64" spans="1:5">
      <c r="A64" s="75" t="s">
        <v>514</v>
      </c>
      <c r="B64" s="78" t="s">
        <v>540</v>
      </c>
      <c r="C64" s="78" t="s">
        <v>96</v>
      </c>
      <c r="D64" s="79" t="s">
        <v>7</v>
      </c>
      <c r="E64" s="80">
        <v>1</v>
      </c>
    </row>
    <row r="65" spans="1:5">
      <c r="A65" s="75" t="s">
        <v>514</v>
      </c>
      <c r="B65" s="78" t="s">
        <v>541</v>
      </c>
      <c r="C65" s="78" t="s">
        <v>96</v>
      </c>
      <c r="D65" s="79" t="s">
        <v>7</v>
      </c>
      <c r="E65" s="80">
        <v>1</v>
      </c>
    </row>
    <row r="66" spans="1:5">
      <c r="A66" s="75" t="s">
        <v>514</v>
      </c>
      <c r="B66" s="78" t="s">
        <v>542</v>
      </c>
      <c r="C66" s="78" t="s">
        <v>96</v>
      </c>
      <c r="D66" s="79" t="s">
        <v>7</v>
      </c>
      <c r="E66" s="80">
        <v>1</v>
      </c>
    </row>
    <row r="67" spans="1:5">
      <c r="A67" s="75" t="s">
        <v>514</v>
      </c>
      <c r="B67" s="78" t="s">
        <v>543</v>
      </c>
      <c r="C67" s="78" t="s">
        <v>96</v>
      </c>
      <c r="D67" s="79" t="s">
        <v>7</v>
      </c>
      <c r="E67" s="80">
        <v>1</v>
      </c>
    </row>
    <row r="68" spans="1:5">
      <c r="A68" s="75" t="s">
        <v>514</v>
      </c>
      <c r="B68" s="78" t="s">
        <v>544</v>
      </c>
      <c r="C68" s="78" t="s">
        <v>96</v>
      </c>
      <c r="D68" s="79" t="s">
        <v>7</v>
      </c>
      <c r="E68" s="80">
        <v>1</v>
      </c>
    </row>
    <row r="69" spans="1:5">
      <c r="A69" s="75" t="s">
        <v>514</v>
      </c>
      <c r="B69" s="78" t="s">
        <v>545</v>
      </c>
      <c r="C69" s="78" t="s">
        <v>96</v>
      </c>
      <c r="D69" s="79" t="s">
        <v>7</v>
      </c>
      <c r="E69" s="80">
        <v>1</v>
      </c>
    </row>
    <row r="70" spans="1:5">
      <c r="A70" s="75" t="s">
        <v>514</v>
      </c>
      <c r="B70" s="78" t="s">
        <v>546</v>
      </c>
      <c r="C70" s="78" t="s">
        <v>96</v>
      </c>
      <c r="D70" s="79" t="s">
        <v>7</v>
      </c>
      <c r="E70" s="80">
        <v>1</v>
      </c>
    </row>
    <row r="71" spans="1:5">
      <c r="A71" s="75" t="s">
        <v>514</v>
      </c>
      <c r="B71" s="78" t="s">
        <v>547</v>
      </c>
      <c r="C71" s="78" t="s">
        <v>96</v>
      </c>
      <c r="D71" s="79" t="s">
        <v>7</v>
      </c>
      <c r="E71" s="80">
        <v>1</v>
      </c>
    </row>
    <row r="72" spans="1:5">
      <c r="A72" s="75" t="s">
        <v>514</v>
      </c>
      <c r="B72" s="78" t="s">
        <v>548</v>
      </c>
      <c r="C72" s="78" t="s">
        <v>96</v>
      </c>
      <c r="D72" s="79" t="s">
        <v>7</v>
      </c>
      <c r="E72" s="80">
        <v>1</v>
      </c>
    </row>
    <row r="73" spans="1:5">
      <c r="A73" s="75" t="s">
        <v>514</v>
      </c>
      <c r="B73" s="78" t="s">
        <v>549</v>
      </c>
      <c r="C73" s="78" t="s">
        <v>96</v>
      </c>
      <c r="D73" s="79" t="s">
        <v>7</v>
      </c>
      <c r="E73" s="80">
        <v>1</v>
      </c>
    </row>
    <row r="74" spans="1:5">
      <c r="A74" s="75" t="s">
        <v>514</v>
      </c>
      <c r="B74" s="78" t="s">
        <v>550</v>
      </c>
      <c r="C74" s="78" t="s">
        <v>96</v>
      </c>
      <c r="D74" s="79" t="s">
        <v>7</v>
      </c>
      <c r="E74" s="80">
        <v>1</v>
      </c>
    </row>
    <row r="75" spans="1:5">
      <c r="A75" s="75" t="s">
        <v>514</v>
      </c>
      <c r="B75" s="78" t="s">
        <v>551</v>
      </c>
      <c r="C75" s="78" t="s">
        <v>96</v>
      </c>
      <c r="D75" s="79" t="s">
        <v>7</v>
      </c>
      <c r="E75" s="80">
        <v>1</v>
      </c>
    </row>
    <row r="76" spans="1:5">
      <c r="A76" s="75" t="s">
        <v>514</v>
      </c>
      <c r="B76" s="78" t="s">
        <v>552</v>
      </c>
      <c r="C76" s="78" t="s">
        <v>96</v>
      </c>
      <c r="D76" s="79" t="s">
        <v>7</v>
      </c>
      <c r="E76" s="80">
        <v>1</v>
      </c>
    </row>
    <row r="77" spans="1:5">
      <c r="A77" s="75" t="s">
        <v>514</v>
      </c>
      <c r="B77" s="78" t="s">
        <v>553</v>
      </c>
      <c r="C77" s="78" t="s">
        <v>96</v>
      </c>
      <c r="D77" s="79" t="s">
        <v>7</v>
      </c>
      <c r="E77" s="80">
        <v>1</v>
      </c>
    </row>
    <row r="78" spans="1:5">
      <c r="A78" s="75" t="s">
        <v>514</v>
      </c>
      <c r="B78" s="78" t="s">
        <v>554</v>
      </c>
      <c r="C78" s="78" t="s">
        <v>96</v>
      </c>
      <c r="D78" s="79" t="s">
        <v>7</v>
      </c>
      <c r="E78" s="80">
        <v>1</v>
      </c>
    </row>
    <row r="79" spans="1:5">
      <c r="A79" s="75" t="s">
        <v>514</v>
      </c>
      <c r="B79" s="78" t="s">
        <v>555</v>
      </c>
      <c r="C79" s="78" t="s">
        <v>96</v>
      </c>
      <c r="D79" s="79" t="s">
        <v>7</v>
      </c>
      <c r="E79" s="80">
        <v>1</v>
      </c>
    </row>
    <row r="80" spans="1:5">
      <c r="A80" s="75" t="s">
        <v>514</v>
      </c>
      <c r="B80" s="78" t="s">
        <v>556</v>
      </c>
      <c r="C80" s="78" t="s">
        <v>96</v>
      </c>
      <c r="D80" s="79" t="s">
        <v>7</v>
      </c>
      <c r="E80" s="80">
        <v>1</v>
      </c>
    </row>
    <row r="81" spans="1:5">
      <c r="A81" s="75" t="s">
        <v>514</v>
      </c>
      <c r="B81" s="78" t="s">
        <v>557</v>
      </c>
      <c r="C81" s="78" t="s">
        <v>96</v>
      </c>
      <c r="D81" s="79" t="s">
        <v>7</v>
      </c>
      <c r="E81" s="80">
        <v>1</v>
      </c>
    </row>
    <row r="82" spans="1:5">
      <c r="A82" s="75" t="s">
        <v>514</v>
      </c>
      <c r="B82" s="78" t="s">
        <v>558</v>
      </c>
      <c r="C82" s="78" t="s">
        <v>96</v>
      </c>
      <c r="D82" s="79" t="s">
        <v>7</v>
      </c>
      <c r="E82" s="80">
        <v>1</v>
      </c>
    </row>
    <row r="83" spans="1:5">
      <c r="A83" s="75" t="s">
        <v>514</v>
      </c>
      <c r="B83" s="78" t="s">
        <v>559</v>
      </c>
      <c r="C83" s="78" t="s">
        <v>96</v>
      </c>
      <c r="D83" s="79" t="s">
        <v>7</v>
      </c>
      <c r="E83" s="80">
        <v>1</v>
      </c>
    </row>
    <row r="84" spans="1:5">
      <c r="A84" s="75" t="s">
        <v>514</v>
      </c>
      <c r="B84" s="78" t="s">
        <v>560</v>
      </c>
      <c r="C84" s="78" t="s">
        <v>561</v>
      </c>
      <c r="D84" s="79" t="s">
        <v>7</v>
      </c>
      <c r="E84" s="80">
        <v>1</v>
      </c>
    </row>
    <row r="85" spans="1:5">
      <c r="A85" s="75" t="s">
        <v>514</v>
      </c>
      <c r="B85" s="78" t="s">
        <v>562</v>
      </c>
      <c r="C85" s="78" t="s">
        <v>563</v>
      </c>
      <c r="D85" s="79" t="s">
        <v>7</v>
      </c>
      <c r="E85" s="80">
        <v>1</v>
      </c>
    </row>
    <row r="86" spans="1:5">
      <c r="A86" s="75" t="s">
        <v>514</v>
      </c>
      <c r="B86" s="78" t="s">
        <v>564</v>
      </c>
      <c r="C86" s="78" t="s">
        <v>563</v>
      </c>
      <c r="D86" s="79" t="s">
        <v>7</v>
      </c>
      <c r="E86" s="80">
        <v>1</v>
      </c>
    </row>
    <row r="87" spans="1:5">
      <c r="A87" s="75" t="s">
        <v>514</v>
      </c>
      <c r="B87" s="78" t="s">
        <v>565</v>
      </c>
      <c r="C87" s="78" t="s">
        <v>563</v>
      </c>
      <c r="D87" s="79" t="s">
        <v>7</v>
      </c>
      <c r="E87" s="80">
        <v>1</v>
      </c>
    </row>
    <row r="88" spans="1:5">
      <c r="A88" s="75" t="s">
        <v>514</v>
      </c>
      <c r="B88" s="78" t="s">
        <v>566</v>
      </c>
      <c r="C88" s="78" t="s">
        <v>563</v>
      </c>
      <c r="D88" s="79" t="s">
        <v>7</v>
      </c>
      <c r="E88" s="80">
        <v>1</v>
      </c>
    </row>
    <row r="89" spans="1:5">
      <c r="A89" s="75" t="s">
        <v>514</v>
      </c>
      <c r="B89" s="78" t="s">
        <v>567</v>
      </c>
      <c r="C89" s="78" t="s">
        <v>563</v>
      </c>
      <c r="D89" s="79" t="s">
        <v>7</v>
      </c>
      <c r="E89" s="80">
        <v>1</v>
      </c>
    </row>
    <row r="90" spans="1:5">
      <c r="A90" s="75" t="s">
        <v>514</v>
      </c>
      <c r="B90" s="78" t="s">
        <v>568</v>
      </c>
      <c r="C90" s="78" t="s">
        <v>563</v>
      </c>
      <c r="D90" s="79" t="s">
        <v>7</v>
      </c>
      <c r="E90" s="80">
        <v>1</v>
      </c>
    </row>
    <row r="91" spans="1:5">
      <c r="A91" s="75" t="s">
        <v>514</v>
      </c>
      <c r="B91" s="78" t="s">
        <v>569</v>
      </c>
      <c r="C91" s="78" t="s">
        <v>563</v>
      </c>
      <c r="D91" s="79" t="s">
        <v>7</v>
      </c>
      <c r="E91" s="80">
        <v>1</v>
      </c>
    </row>
    <row r="92" spans="1:5">
      <c r="A92" s="75" t="s">
        <v>514</v>
      </c>
      <c r="B92" s="78" t="s">
        <v>570</v>
      </c>
      <c r="C92" s="78" t="s">
        <v>563</v>
      </c>
      <c r="D92" s="79" t="s">
        <v>7</v>
      </c>
      <c r="E92" s="80">
        <v>1</v>
      </c>
    </row>
    <row r="93" spans="1:5">
      <c r="A93" s="75" t="s">
        <v>514</v>
      </c>
      <c r="B93" s="78" t="s">
        <v>571</v>
      </c>
      <c r="C93" s="78" t="s">
        <v>563</v>
      </c>
      <c r="D93" s="79" t="s">
        <v>7</v>
      </c>
      <c r="E93" s="80">
        <v>1</v>
      </c>
    </row>
    <row r="94" spans="1:5">
      <c r="A94" s="75" t="s">
        <v>514</v>
      </c>
      <c r="B94" s="78" t="s">
        <v>572</v>
      </c>
      <c r="C94" s="78" t="s">
        <v>563</v>
      </c>
      <c r="D94" s="79" t="s">
        <v>7</v>
      </c>
      <c r="E94" s="80">
        <v>1</v>
      </c>
    </row>
    <row r="95" spans="1:5">
      <c r="A95" s="75" t="s">
        <v>514</v>
      </c>
      <c r="B95" s="78" t="s">
        <v>573</v>
      </c>
      <c r="C95" s="78" t="s">
        <v>563</v>
      </c>
      <c r="D95" s="79" t="s">
        <v>7</v>
      </c>
      <c r="E95" s="80">
        <v>1</v>
      </c>
    </row>
    <row r="96" spans="1:5">
      <c r="A96" s="75" t="s">
        <v>514</v>
      </c>
      <c r="B96" s="78" t="s">
        <v>574</v>
      </c>
      <c r="C96" s="78" t="s">
        <v>563</v>
      </c>
      <c r="D96" s="79" t="s">
        <v>7</v>
      </c>
      <c r="E96" s="80">
        <v>1</v>
      </c>
    </row>
    <row r="97" spans="1:5">
      <c r="A97" s="75" t="s">
        <v>514</v>
      </c>
      <c r="B97" s="78" t="s">
        <v>575</v>
      </c>
      <c r="C97" s="78" t="s">
        <v>563</v>
      </c>
      <c r="D97" s="79" t="s">
        <v>7</v>
      </c>
      <c r="E97" s="80">
        <v>1</v>
      </c>
    </row>
    <row r="98" spans="1:5">
      <c r="A98" s="75" t="s">
        <v>514</v>
      </c>
      <c r="B98" s="78" t="s">
        <v>576</v>
      </c>
      <c r="C98" s="78" t="s">
        <v>563</v>
      </c>
      <c r="D98" s="79" t="s">
        <v>7</v>
      </c>
      <c r="E98" s="80">
        <v>1</v>
      </c>
    </row>
    <row r="99" spans="1:5">
      <c r="A99" s="75" t="s">
        <v>514</v>
      </c>
      <c r="B99" s="78" t="s">
        <v>577</v>
      </c>
      <c r="C99" s="78" t="s">
        <v>563</v>
      </c>
      <c r="D99" s="79" t="s">
        <v>7</v>
      </c>
      <c r="E99" s="80">
        <v>1</v>
      </c>
    </row>
    <row r="100" spans="1:5">
      <c r="A100" s="75" t="s">
        <v>514</v>
      </c>
      <c r="B100" s="78" t="s">
        <v>578</v>
      </c>
      <c r="C100" s="78" t="s">
        <v>563</v>
      </c>
      <c r="D100" s="79" t="s">
        <v>7</v>
      </c>
      <c r="E100" s="80">
        <v>1</v>
      </c>
    </row>
    <row r="101" spans="1:5">
      <c r="A101" s="75" t="s">
        <v>514</v>
      </c>
      <c r="B101" s="78" t="s">
        <v>579</v>
      </c>
      <c r="C101" s="78" t="s">
        <v>563</v>
      </c>
      <c r="D101" s="79" t="s">
        <v>7</v>
      </c>
      <c r="E101" s="80">
        <v>1</v>
      </c>
    </row>
    <row r="102" spans="1:5">
      <c r="A102" s="75" t="s">
        <v>514</v>
      </c>
      <c r="B102" s="78" t="s">
        <v>580</v>
      </c>
      <c r="C102" s="78" t="s">
        <v>563</v>
      </c>
      <c r="D102" s="79" t="s">
        <v>7</v>
      </c>
      <c r="E102" s="80">
        <v>1</v>
      </c>
    </row>
    <row r="103" spans="1:5">
      <c r="A103" s="75" t="s">
        <v>514</v>
      </c>
      <c r="B103" s="78" t="s">
        <v>581</v>
      </c>
      <c r="C103" s="78" t="s">
        <v>563</v>
      </c>
      <c r="D103" s="79" t="s">
        <v>7</v>
      </c>
      <c r="E103" s="80">
        <v>1</v>
      </c>
    </row>
    <row r="104" spans="1:5">
      <c r="A104" s="75" t="s">
        <v>514</v>
      </c>
      <c r="B104" s="78" t="s">
        <v>582</v>
      </c>
      <c r="C104" s="78" t="s">
        <v>563</v>
      </c>
      <c r="D104" s="79" t="s">
        <v>7</v>
      </c>
      <c r="E104" s="80">
        <v>1</v>
      </c>
    </row>
    <row r="105" spans="1:5">
      <c r="A105" s="75" t="s">
        <v>514</v>
      </c>
      <c r="B105" s="78">
        <v>20211483</v>
      </c>
      <c r="C105" s="78" t="s">
        <v>583</v>
      </c>
      <c r="D105" s="79" t="s">
        <v>7</v>
      </c>
      <c r="E105" s="80">
        <v>1</v>
      </c>
    </row>
    <row r="106" spans="1:5">
      <c r="A106" s="75" t="s">
        <v>514</v>
      </c>
      <c r="B106" s="78">
        <v>20211484</v>
      </c>
      <c r="C106" s="78" t="s">
        <v>584</v>
      </c>
      <c r="D106" s="79" t="s">
        <v>7</v>
      </c>
      <c r="E106" s="80">
        <v>1</v>
      </c>
    </row>
    <row r="107" spans="1:5">
      <c r="A107" s="75" t="s">
        <v>514</v>
      </c>
      <c r="B107" s="78">
        <v>20211485</v>
      </c>
      <c r="C107" s="78" t="s">
        <v>585</v>
      </c>
      <c r="D107" s="79" t="s">
        <v>7</v>
      </c>
      <c r="E107" s="80">
        <v>1</v>
      </c>
    </row>
    <row r="108" spans="1:5">
      <c r="A108" s="75" t="s">
        <v>514</v>
      </c>
      <c r="B108" s="78">
        <v>20211486</v>
      </c>
      <c r="C108" s="78" t="s">
        <v>586</v>
      </c>
      <c r="D108" s="79" t="s">
        <v>7</v>
      </c>
      <c r="E108" s="80">
        <v>1</v>
      </c>
    </row>
    <row r="109" spans="1:5">
      <c r="A109" s="75" t="s">
        <v>514</v>
      </c>
      <c r="B109" s="78">
        <v>20211487</v>
      </c>
      <c r="C109" s="78" t="s">
        <v>587</v>
      </c>
      <c r="D109" s="79" t="s">
        <v>7</v>
      </c>
      <c r="E109" s="80">
        <v>1</v>
      </c>
    </row>
    <row r="110" spans="1:5">
      <c r="A110" s="75" t="s">
        <v>514</v>
      </c>
      <c r="B110" s="78">
        <v>20220694</v>
      </c>
      <c r="C110" s="78" t="s">
        <v>588</v>
      </c>
      <c r="D110" s="79" t="s">
        <v>7</v>
      </c>
      <c r="E110" s="80">
        <v>1</v>
      </c>
    </row>
    <row r="111" spans="1:5">
      <c r="A111" s="75" t="s">
        <v>514</v>
      </c>
      <c r="B111" s="78">
        <v>20220695</v>
      </c>
      <c r="C111" s="78" t="s">
        <v>589</v>
      </c>
      <c r="D111" s="79" t="s">
        <v>7</v>
      </c>
      <c r="E111" s="80">
        <v>1</v>
      </c>
    </row>
    <row r="112" spans="1:5">
      <c r="A112" s="75" t="s">
        <v>514</v>
      </c>
      <c r="B112" s="78">
        <v>20230015</v>
      </c>
      <c r="C112" s="78" t="s">
        <v>108</v>
      </c>
      <c r="D112" s="79" t="s">
        <v>7</v>
      </c>
      <c r="E112" s="80">
        <v>1</v>
      </c>
    </row>
    <row r="113" spans="1:5">
      <c r="A113" s="75" t="s">
        <v>514</v>
      </c>
      <c r="B113" s="78">
        <v>20230371</v>
      </c>
      <c r="C113" s="78" t="s">
        <v>590</v>
      </c>
      <c r="D113" s="79" t="s">
        <v>7</v>
      </c>
      <c r="E113" s="80">
        <v>1</v>
      </c>
    </row>
    <row r="114" spans="1:5">
      <c r="A114" s="75" t="s">
        <v>514</v>
      </c>
      <c r="B114" s="78">
        <v>20230536</v>
      </c>
      <c r="C114" s="78" t="s">
        <v>591</v>
      </c>
      <c r="D114" s="79" t="s">
        <v>7</v>
      </c>
      <c r="E114" s="80">
        <v>1</v>
      </c>
    </row>
    <row r="115" spans="1:5">
      <c r="A115" s="75" t="s">
        <v>514</v>
      </c>
      <c r="B115" s="78">
        <v>20230537</v>
      </c>
      <c r="C115" s="78" t="s">
        <v>591</v>
      </c>
      <c r="D115" s="79" t="s">
        <v>7</v>
      </c>
      <c r="E115" s="80">
        <v>1</v>
      </c>
    </row>
    <row r="116" spans="1:5">
      <c r="A116" s="75" t="s">
        <v>514</v>
      </c>
      <c r="B116" s="78">
        <v>20230538</v>
      </c>
      <c r="C116" s="78" t="s">
        <v>591</v>
      </c>
      <c r="D116" s="79" t="s">
        <v>7</v>
      </c>
      <c r="E116" s="80">
        <v>1</v>
      </c>
    </row>
    <row r="117" spans="1:5">
      <c r="A117" s="75" t="s">
        <v>514</v>
      </c>
      <c r="B117" s="78">
        <v>20230539</v>
      </c>
      <c r="C117" s="78" t="s">
        <v>592</v>
      </c>
      <c r="D117" s="79" t="s">
        <v>7</v>
      </c>
      <c r="E117" s="80">
        <v>1</v>
      </c>
    </row>
    <row r="118" spans="1:5">
      <c r="A118" s="75" t="s">
        <v>514</v>
      </c>
      <c r="B118" s="78">
        <v>20230540</v>
      </c>
      <c r="C118" s="78" t="s">
        <v>592</v>
      </c>
      <c r="D118" s="79" t="s">
        <v>7</v>
      </c>
      <c r="E118" s="80">
        <v>1</v>
      </c>
    </row>
    <row r="119" spans="1:5">
      <c r="A119" s="75" t="s">
        <v>514</v>
      </c>
      <c r="B119" s="78">
        <v>20230541</v>
      </c>
      <c r="C119" s="78" t="s">
        <v>593</v>
      </c>
      <c r="D119" s="79" t="s">
        <v>7</v>
      </c>
      <c r="E119" s="80">
        <v>1</v>
      </c>
    </row>
    <row r="120" spans="1:5">
      <c r="A120" s="75" t="s">
        <v>514</v>
      </c>
      <c r="B120" s="78">
        <v>20230568</v>
      </c>
      <c r="C120" s="78" t="s">
        <v>592</v>
      </c>
      <c r="D120" s="79" t="s">
        <v>7</v>
      </c>
      <c r="E120" s="80">
        <v>1</v>
      </c>
    </row>
    <row r="121" spans="1:5">
      <c r="A121" s="75" t="s">
        <v>514</v>
      </c>
      <c r="B121" s="78">
        <v>20230569</v>
      </c>
      <c r="C121" s="78" t="s">
        <v>594</v>
      </c>
      <c r="D121" s="79" t="s">
        <v>7</v>
      </c>
      <c r="E121" s="80">
        <v>1</v>
      </c>
    </row>
    <row r="122" spans="1:5">
      <c r="A122" s="75" t="s">
        <v>514</v>
      </c>
      <c r="B122" s="78">
        <v>20211499</v>
      </c>
      <c r="C122" s="78" t="s">
        <v>595</v>
      </c>
      <c r="D122" s="79" t="s">
        <v>7</v>
      </c>
      <c r="E122" s="80">
        <v>1</v>
      </c>
    </row>
    <row r="123" spans="1:5">
      <c r="A123" s="75" t="s">
        <v>514</v>
      </c>
      <c r="B123" s="78">
        <v>20171658</v>
      </c>
      <c r="C123" s="78" t="s">
        <v>35</v>
      </c>
      <c r="D123" s="79" t="s">
        <v>7</v>
      </c>
      <c r="E123" s="80">
        <v>1</v>
      </c>
    </row>
    <row r="124" spans="1:5">
      <c r="A124" s="75" t="s">
        <v>514</v>
      </c>
      <c r="B124" s="78">
        <v>20220696</v>
      </c>
      <c r="C124" s="78" t="s">
        <v>596</v>
      </c>
      <c r="D124" s="79" t="s">
        <v>7</v>
      </c>
      <c r="E124" s="80">
        <v>1</v>
      </c>
    </row>
    <row r="125" spans="1:5">
      <c r="A125" s="75" t="s">
        <v>514</v>
      </c>
      <c r="B125" s="78">
        <v>20220698</v>
      </c>
      <c r="C125" s="78" t="s">
        <v>597</v>
      </c>
      <c r="D125" s="79" t="s">
        <v>7</v>
      </c>
      <c r="E125" s="80">
        <v>1</v>
      </c>
    </row>
    <row r="126" spans="1:5">
      <c r="A126" s="75" t="s">
        <v>514</v>
      </c>
      <c r="B126" s="78">
        <v>20220699</v>
      </c>
      <c r="C126" s="78" t="s">
        <v>598</v>
      </c>
      <c r="D126" s="79" t="s">
        <v>7</v>
      </c>
      <c r="E126" s="80">
        <v>1</v>
      </c>
    </row>
    <row r="127" spans="1:5">
      <c r="A127" s="75" t="s">
        <v>514</v>
      </c>
      <c r="B127" s="78">
        <v>20220701</v>
      </c>
      <c r="C127" s="78" t="s">
        <v>599</v>
      </c>
      <c r="D127" s="79" t="s">
        <v>7</v>
      </c>
      <c r="E127" s="80">
        <v>1</v>
      </c>
    </row>
    <row r="128" spans="1:5">
      <c r="A128" s="75" t="s">
        <v>514</v>
      </c>
      <c r="B128" s="78">
        <v>20181055</v>
      </c>
      <c r="C128" s="78" t="s">
        <v>600</v>
      </c>
      <c r="D128" s="79" t="s">
        <v>7</v>
      </c>
      <c r="E128" s="80">
        <v>1</v>
      </c>
    </row>
    <row r="129" spans="1:5">
      <c r="A129" s="75" t="s">
        <v>514</v>
      </c>
      <c r="B129" s="78">
        <v>20181060</v>
      </c>
      <c r="C129" s="78" t="s">
        <v>601</v>
      </c>
      <c r="D129" s="79" t="s">
        <v>7</v>
      </c>
      <c r="E129" s="80">
        <v>1</v>
      </c>
    </row>
    <row r="130" spans="1:5">
      <c r="A130" s="75" t="s">
        <v>514</v>
      </c>
      <c r="B130" s="78">
        <v>20181061</v>
      </c>
      <c r="C130" s="78" t="s">
        <v>602</v>
      </c>
      <c r="D130" s="79" t="s">
        <v>7</v>
      </c>
      <c r="E130" s="80">
        <v>1</v>
      </c>
    </row>
    <row r="131" spans="1:5">
      <c r="A131" s="75" t="s">
        <v>514</v>
      </c>
      <c r="B131" s="78">
        <v>20211495</v>
      </c>
      <c r="C131" s="78" t="s">
        <v>603</v>
      </c>
      <c r="D131" s="79" t="s">
        <v>7</v>
      </c>
      <c r="E131" s="80">
        <v>1</v>
      </c>
    </row>
    <row r="132" spans="1:5">
      <c r="A132" s="75" t="s">
        <v>514</v>
      </c>
      <c r="B132" s="78">
        <v>20211497</v>
      </c>
      <c r="C132" s="78" t="s">
        <v>604</v>
      </c>
      <c r="D132" s="79" t="s">
        <v>7</v>
      </c>
      <c r="E132" s="80">
        <v>1</v>
      </c>
    </row>
    <row r="133" spans="1:5">
      <c r="A133" s="75" t="s">
        <v>514</v>
      </c>
      <c r="B133" s="78">
        <v>20211642</v>
      </c>
      <c r="C133" s="78" t="s">
        <v>605</v>
      </c>
      <c r="D133" s="79" t="s">
        <v>7</v>
      </c>
      <c r="E133" s="80">
        <v>1</v>
      </c>
    </row>
    <row r="134" spans="1:5">
      <c r="A134" s="75" t="s">
        <v>514</v>
      </c>
      <c r="B134" s="78">
        <v>20220310</v>
      </c>
      <c r="C134" s="78" t="s">
        <v>606</v>
      </c>
      <c r="D134" s="79" t="s">
        <v>7</v>
      </c>
      <c r="E134" s="80">
        <v>1</v>
      </c>
    </row>
    <row r="135" spans="1:5">
      <c r="A135" s="75" t="s">
        <v>514</v>
      </c>
      <c r="B135" s="78">
        <v>20220311</v>
      </c>
      <c r="C135" s="78" t="s">
        <v>607</v>
      </c>
      <c r="D135" s="79" t="s">
        <v>7</v>
      </c>
      <c r="E135" s="80">
        <v>1</v>
      </c>
    </row>
    <row r="136" spans="1:5">
      <c r="A136" s="75" t="s">
        <v>514</v>
      </c>
      <c r="B136" s="78">
        <v>20220312</v>
      </c>
      <c r="C136" s="78" t="s">
        <v>607</v>
      </c>
      <c r="D136" s="79" t="s">
        <v>7</v>
      </c>
      <c r="E136" s="80">
        <v>1</v>
      </c>
    </row>
    <row r="137" spans="1:5">
      <c r="A137" s="75" t="s">
        <v>514</v>
      </c>
      <c r="B137" s="78">
        <v>20220313</v>
      </c>
      <c r="C137" s="78" t="s">
        <v>607</v>
      </c>
      <c r="D137" s="79" t="s">
        <v>7</v>
      </c>
      <c r="E137" s="80">
        <v>1</v>
      </c>
    </row>
    <row r="138" spans="1:5">
      <c r="A138" s="75" t="s">
        <v>514</v>
      </c>
      <c r="B138" s="78">
        <v>20220314</v>
      </c>
      <c r="C138" s="78" t="s">
        <v>607</v>
      </c>
      <c r="D138" s="79" t="s">
        <v>7</v>
      </c>
      <c r="E138" s="80">
        <v>1</v>
      </c>
    </row>
    <row r="139" spans="1:5">
      <c r="A139" s="75" t="s">
        <v>514</v>
      </c>
      <c r="B139" s="78">
        <v>20220318</v>
      </c>
      <c r="C139" s="78" t="s">
        <v>608</v>
      </c>
      <c r="D139" s="79" t="s">
        <v>7</v>
      </c>
      <c r="E139" s="80">
        <v>1</v>
      </c>
    </row>
    <row r="140" spans="1:5">
      <c r="A140" s="75" t="s">
        <v>514</v>
      </c>
      <c r="B140" s="78">
        <v>20220327</v>
      </c>
      <c r="C140" s="78" t="s">
        <v>609</v>
      </c>
      <c r="D140" s="79" t="s">
        <v>7</v>
      </c>
      <c r="E140" s="80">
        <v>1</v>
      </c>
    </row>
    <row r="141" spans="1:5">
      <c r="A141" s="75" t="s">
        <v>514</v>
      </c>
      <c r="B141" s="78">
        <v>20220328</v>
      </c>
      <c r="C141" s="78" t="s">
        <v>609</v>
      </c>
      <c r="D141" s="79" t="s">
        <v>7</v>
      </c>
      <c r="E141" s="80">
        <v>1</v>
      </c>
    </row>
    <row r="142" spans="1:5">
      <c r="A142" s="75" t="s">
        <v>514</v>
      </c>
      <c r="B142" s="78">
        <v>20220329</v>
      </c>
      <c r="C142" s="78" t="s">
        <v>609</v>
      </c>
      <c r="D142" s="79" t="s">
        <v>7</v>
      </c>
      <c r="E142" s="80">
        <v>1</v>
      </c>
    </row>
    <row r="143" spans="1:5">
      <c r="A143" s="75" t="s">
        <v>514</v>
      </c>
      <c r="B143" s="78">
        <v>20220330</v>
      </c>
      <c r="C143" s="78" t="s">
        <v>609</v>
      </c>
      <c r="D143" s="79" t="s">
        <v>7</v>
      </c>
      <c r="E143" s="80">
        <v>1</v>
      </c>
    </row>
    <row r="144" spans="1:5">
      <c r="A144" s="75" t="s">
        <v>514</v>
      </c>
      <c r="B144" s="78">
        <v>20220331</v>
      </c>
      <c r="C144" s="78" t="s">
        <v>610</v>
      </c>
      <c r="D144" s="79" t="s">
        <v>7</v>
      </c>
      <c r="E144" s="80">
        <v>1</v>
      </c>
    </row>
    <row r="145" spans="1:5">
      <c r="A145" s="75" t="s">
        <v>514</v>
      </c>
      <c r="B145" s="78">
        <v>20220332</v>
      </c>
      <c r="C145" s="78" t="s">
        <v>610</v>
      </c>
      <c r="D145" s="79" t="s">
        <v>7</v>
      </c>
      <c r="E145" s="80">
        <v>1</v>
      </c>
    </row>
    <row r="146" spans="1:5">
      <c r="A146" s="75" t="s">
        <v>514</v>
      </c>
      <c r="B146" s="78">
        <v>20220333</v>
      </c>
      <c r="C146" s="78" t="s">
        <v>610</v>
      </c>
      <c r="D146" s="79" t="s">
        <v>7</v>
      </c>
      <c r="E146" s="80">
        <v>1</v>
      </c>
    </row>
    <row r="147" spans="1:5">
      <c r="A147" s="75" t="s">
        <v>514</v>
      </c>
      <c r="B147" s="78">
        <v>20220334</v>
      </c>
      <c r="C147" s="78" t="s">
        <v>610</v>
      </c>
      <c r="D147" s="79" t="s">
        <v>7</v>
      </c>
      <c r="E147" s="80">
        <v>1</v>
      </c>
    </row>
    <row r="148" spans="1:5">
      <c r="A148" s="75" t="s">
        <v>514</v>
      </c>
      <c r="B148" s="78">
        <v>20220335</v>
      </c>
      <c r="C148" s="78" t="s">
        <v>611</v>
      </c>
      <c r="D148" s="79" t="s">
        <v>7</v>
      </c>
      <c r="E148" s="80">
        <v>1</v>
      </c>
    </row>
    <row r="149" spans="1:5">
      <c r="A149" s="75" t="s">
        <v>514</v>
      </c>
      <c r="B149" s="78">
        <v>20220336</v>
      </c>
      <c r="C149" s="78" t="s">
        <v>612</v>
      </c>
      <c r="D149" s="79" t="s">
        <v>7</v>
      </c>
      <c r="E149" s="80">
        <v>1</v>
      </c>
    </row>
    <row r="150" spans="1:5">
      <c r="A150" s="75" t="s">
        <v>514</v>
      </c>
      <c r="B150" s="78">
        <v>20220337</v>
      </c>
      <c r="C150" s="78" t="s">
        <v>613</v>
      </c>
      <c r="D150" s="79" t="s">
        <v>7</v>
      </c>
      <c r="E150" s="80">
        <v>1</v>
      </c>
    </row>
    <row r="151" spans="1:5">
      <c r="A151" s="75" t="s">
        <v>514</v>
      </c>
      <c r="B151" s="78">
        <v>20220338</v>
      </c>
      <c r="C151" s="78" t="s">
        <v>613</v>
      </c>
      <c r="D151" s="79" t="s">
        <v>7</v>
      </c>
      <c r="E151" s="80">
        <v>1</v>
      </c>
    </row>
    <row r="152" spans="1:5">
      <c r="A152" s="75" t="s">
        <v>514</v>
      </c>
      <c r="B152" s="78">
        <v>20220339</v>
      </c>
      <c r="C152" s="78" t="s">
        <v>300</v>
      </c>
      <c r="D152" s="79" t="s">
        <v>7</v>
      </c>
      <c r="E152" s="80">
        <v>1</v>
      </c>
    </row>
    <row r="153" spans="1:5">
      <c r="A153" s="75" t="s">
        <v>514</v>
      </c>
      <c r="B153" s="78">
        <v>20220340</v>
      </c>
      <c r="C153" s="78" t="s">
        <v>614</v>
      </c>
      <c r="D153" s="79" t="s">
        <v>7</v>
      </c>
      <c r="E153" s="80">
        <v>1</v>
      </c>
    </row>
    <row r="154" spans="1:5">
      <c r="A154" s="75" t="s">
        <v>514</v>
      </c>
      <c r="B154" s="78">
        <v>20220697</v>
      </c>
      <c r="C154" s="78" t="s">
        <v>615</v>
      </c>
      <c r="D154" s="79" t="s">
        <v>7</v>
      </c>
      <c r="E154" s="80">
        <v>1</v>
      </c>
    </row>
    <row r="155" spans="1:5">
      <c r="A155" s="75" t="s">
        <v>514</v>
      </c>
      <c r="B155" s="78">
        <v>20220700</v>
      </c>
      <c r="C155" s="78" t="s">
        <v>616</v>
      </c>
      <c r="D155" s="79" t="s">
        <v>7</v>
      </c>
      <c r="E155" s="80">
        <v>1</v>
      </c>
    </row>
    <row r="156" spans="1:5">
      <c r="A156" s="75" t="s">
        <v>514</v>
      </c>
      <c r="B156" s="78">
        <v>20220708</v>
      </c>
      <c r="C156" s="78" t="s">
        <v>617</v>
      </c>
      <c r="D156" s="79" t="s">
        <v>7</v>
      </c>
      <c r="E156" s="80">
        <v>1</v>
      </c>
    </row>
    <row r="157" spans="1:5">
      <c r="A157" s="75" t="s">
        <v>514</v>
      </c>
      <c r="B157" s="78">
        <v>20220709</v>
      </c>
      <c r="C157" s="78" t="s">
        <v>618</v>
      </c>
      <c r="D157" s="79" t="s">
        <v>7</v>
      </c>
      <c r="E157" s="80">
        <v>1</v>
      </c>
    </row>
    <row r="158" spans="1:5">
      <c r="A158" s="75" t="s">
        <v>514</v>
      </c>
      <c r="B158" s="78">
        <v>20220712</v>
      </c>
      <c r="C158" s="78" t="s">
        <v>619</v>
      </c>
      <c r="D158" s="79" t="s">
        <v>7</v>
      </c>
      <c r="E158" s="80">
        <v>1</v>
      </c>
    </row>
    <row r="159" spans="1:5">
      <c r="A159" s="75" t="s">
        <v>514</v>
      </c>
      <c r="B159" s="78">
        <v>20220713</v>
      </c>
      <c r="C159" s="78" t="s">
        <v>620</v>
      </c>
      <c r="D159" s="79" t="s">
        <v>7</v>
      </c>
      <c r="E159" s="80">
        <v>1</v>
      </c>
    </row>
    <row r="160" spans="1:5">
      <c r="A160" s="75" t="s">
        <v>514</v>
      </c>
      <c r="B160" s="78">
        <v>20220715</v>
      </c>
      <c r="C160" s="78" t="s">
        <v>621</v>
      </c>
      <c r="D160" s="79" t="s">
        <v>7</v>
      </c>
      <c r="E160" s="80">
        <v>1</v>
      </c>
    </row>
    <row r="161" spans="1:5">
      <c r="A161" s="75" t="s">
        <v>514</v>
      </c>
      <c r="B161" s="78">
        <v>20220716</v>
      </c>
      <c r="C161" s="78" t="s">
        <v>622</v>
      </c>
      <c r="D161" s="79" t="s">
        <v>7</v>
      </c>
      <c r="E161" s="80">
        <v>1</v>
      </c>
    </row>
    <row r="162" spans="1:5">
      <c r="A162" s="75" t="s">
        <v>514</v>
      </c>
      <c r="B162" s="78">
        <v>20220717</v>
      </c>
      <c r="C162" s="78" t="s">
        <v>623</v>
      </c>
      <c r="D162" s="79" t="s">
        <v>7</v>
      </c>
      <c r="E162" s="80">
        <v>1</v>
      </c>
    </row>
    <row r="163" spans="1:5">
      <c r="A163" s="75" t="s">
        <v>514</v>
      </c>
      <c r="B163" s="78">
        <v>20220718</v>
      </c>
      <c r="C163" s="78" t="s">
        <v>624</v>
      </c>
      <c r="D163" s="79" t="s">
        <v>7</v>
      </c>
      <c r="E163" s="80">
        <v>1</v>
      </c>
    </row>
    <row r="164" spans="1:5">
      <c r="A164" s="75" t="s">
        <v>514</v>
      </c>
      <c r="B164" s="78">
        <v>20220719</v>
      </c>
      <c r="C164" s="78" t="s">
        <v>625</v>
      </c>
      <c r="D164" s="79" t="s">
        <v>7</v>
      </c>
      <c r="E164" s="80">
        <v>1</v>
      </c>
    </row>
    <row r="165" spans="1:5">
      <c r="A165" s="75" t="s">
        <v>514</v>
      </c>
      <c r="B165" s="78">
        <v>20220720</v>
      </c>
      <c r="C165" s="78" t="s">
        <v>626</v>
      </c>
      <c r="D165" s="79" t="s">
        <v>7</v>
      </c>
      <c r="E165" s="80">
        <v>1</v>
      </c>
    </row>
    <row r="166" spans="1:5">
      <c r="A166" s="75" t="s">
        <v>514</v>
      </c>
      <c r="B166" s="78">
        <v>20220721</v>
      </c>
      <c r="C166" s="78" t="s">
        <v>627</v>
      </c>
      <c r="D166" s="79" t="s">
        <v>7</v>
      </c>
      <c r="E166" s="80">
        <v>1</v>
      </c>
    </row>
    <row r="167" spans="1:5">
      <c r="A167" s="75" t="s">
        <v>514</v>
      </c>
      <c r="B167" s="78">
        <v>20220722</v>
      </c>
      <c r="C167" s="78" t="s">
        <v>628</v>
      </c>
      <c r="D167" s="79" t="s">
        <v>7</v>
      </c>
      <c r="E167" s="80">
        <v>1</v>
      </c>
    </row>
    <row r="168" spans="1:5">
      <c r="A168" s="75" t="s">
        <v>514</v>
      </c>
      <c r="B168" s="78">
        <v>20220723</v>
      </c>
      <c r="C168" s="78" t="s">
        <v>629</v>
      </c>
      <c r="D168" s="79" t="s">
        <v>7</v>
      </c>
      <c r="E168" s="80">
        <v>1</v>
      </c>
    </row>
    <row r="169" spans="1:5">
      <c r="A169" s="75" t="s">
        <v>514</v>
      </c>
      <c r="B169" s="78">
        <v>20220744</v>
      </c>
      <c r="C169" s="78" t="s">
        <v>630</v>
      </c>
      <c r="D169" s="79" t="s">
        <v>7</v>
      </c>
      <c r="E169" s="80">
        <v>1</v>
      </c>
    </row>
    <row r="170" spans="1:5">
      <c r="A170" s="75" t="s">
        <v>514</v>
      </c>
      <c r="B170" s="78">
        <v>20220745</v>
      </c>
      <c r="C170" s="78" t="s">
        <v>631</v>
      </c>
      <c r="D170" s="79" t="s">
        <v>7</v>
      </c>
      <c r="E170" s="80">
        <v>1</v>
      </c>
    </row>
    <row r="171" spans="1:5">
      <c r="A171" s="75" t="s">
        <v>514</v>
      </c>
      <c r="B171" s="78">
        <v>20220746</v>
      </c>
      <c r="C171" s="78" t="s">
        <v>632</v>
      </c>
      <c r="D171" s="79" t="s">
        <v>7</v>
      </c>
      <c r="E171" s="80">
        <v>1</v>
      </c>
    </row>
    <row r="172" spans="1:5">
      <c r="A172" s="75" t="s">
        <v>514</v>
      </c>
      <c r="B172" s="78">
        <v>20220747</v>
      </c>
      <c r="C172" s="78" t="s">
        <v>633</v>
      </c>
      <c r="D172" s="79" t="s">
        <v>7</v>
      </c>
      <c r="E172" s="80">
        <v>1</v>
      </c>
    </row>
    <row r="173" spans="1:5">
      <c r="A173" s="75" t="s">
        <v>514</v>
      </c>
      <c r="B173" s="78">
        <v>20220748</v>
      </c>
      <c r="C173" s="78" t="s">
        <v>633</v>
      </c>
      <c r="D173" s="79" t="s">
        <v>7</v>
      </c>
      <c r="E173" s="80">
        <v>1</v>
      </c>
    </row>
    <row r="174" spans="1:5">
      <c r="A174" s="75" t="s">
        <v>514</v>
      </c>
      <c r="B174" s="78">
        <v>20220749</v>
      </c>
      <c r="C174" s="78" t="s">
        <v>633</v>
      </c>
      <c r="D174" s="79" t="s">
        <v>7</v>
      </c>
      <c r="E174" s="80">
        <v>1</v>
      </c>
    </row>
    <row r="175" spans="1:5">
      <c r="A175" s="75" t="s">
        <v>514</v>
      </c>
      <c r="B175" s="78">
        <v>20220750</v>
      </c>
      <c r="C175" s="78" t="s">
        <v>633</v>
      </c>
      <c r="D175" s="79" t="s">
        <v>7</v>
      </c>
      <c r="E175" s="80">
        <v>1</v>
      </c>
    </row>
    <row r="176" spans="1:5">
      <c r="A176" s="75" t="s">
        <v>514</v>
      </c>
      <c r="B176" s="78">
        <v>20220751</v>
      </c>
      <c r="C176" s="78" t="s">
        <v>633</v>
      </c>
      <c r="D176" s="79" t="s">
        <v>7</v>
      </c>
      <c r="E176" s="80">
        <v>1</v>
      </c>
    </row>
    <row r="177" spans="1:5">
      <c r="A177" s="75" t="s">
        <v>514</v>
      </c>
      <c r="B177" s="78">
        <v>20220752</v>
      </c>
      <c r="C177" s="78" t="s">
        <v>633</v>
      </c>
      <c r="D177" s="79" t="s">
        <v>7</v>
      </c>
      <c r="E177" s="80">
        <v>1</v>
      </c>
    </row>
    <row r="178" spans="1:5">
      <c r="A178" s="75" t="s">
        <v>514</v>
      </c>
      <c r="B178" s="78">
        <v>20220753</v>
      </c>
      <c r="C178" s="78" t="s">
        <v>633</v>
      </c>
      <c r="D178" s="79" t="s">
        <v>7</v>
      </c>
      <c r="E178" s="80">
        <v>1</v>
      </c>
    </row>
    <row r="179" spans="1:5">
      <c r="A179" s="75" t="s">
        <v>514</v>
      </c>
      <c r="B179" s="78">
        <v>20220754</v>
      </c>
      <c r="C179" s="78" t="s">
        <v>633</v>
      </c>
      <c r="D179" s="79" t="s">
        <v>7</v>
      </c>
      <c r="E179" s="80">
        <v>1</v>
      </c>
    </row>
    <row r="180" spans="1:5">
      <c r="A180" s="75" t="s">
        <v>514</v>
      </c>
      <c r="B180" s="78">
        <v>20220755</v>
      </c>
      <c r="C180" s="78" t="s">
        <v>633</v>
      </c>
      <c r="D180" s="79" t="s">
        <v>7</v>
      </c>
      <c r="E180" s="80">
        <v>1</v>
      </c>
    </row>
    <row r="181" spans="1:5">
      <c r="A181" s="75" t="s">
        <v>514</v>
      </c>
      <c r="B181" s="78">
        <v>20220756</v>
      </c>
      <c r="C181" s="78" t="s">
        <v>633</v>
      </c>
      <c r="D181" s="79" t="s">
        <v>7</v>
      </c>
      <c r="E181" s="80">
        <v>1</v>
      </c>
    </row>
    <row r="182" spans="1:5">
      <c r="A182" s="75" t="s">
        <v>514</v>
      </c>
      <c r="B182" s="78">
        <v>20220757</v>
      </c>
      <c r="C182" s="78" t="s">
        <v>633</v>
      </c>
      <c r="D182" s="79" t="s">
        <v>7</v>
      </c>
      <c r="E182" s="80">
        <v>1</v>
      </c>
    </row>
    <row r="183" spans="1:5">
      <c r="A183" s="75" t="s">
        <v>514</v>
      </c>
      <c r="B183" s="78">
        <v>20220758</v>
      </c>
      <c r="C183" s="78" t="s">
        <v>633</v>
      </c>
      <c r="D183" s="79" t="s">
        <v>7</v>
      </c>
      <c r="E183" s="80">
        <v>1</v>
      </c>
    </row>
    <row r="184" spans="1:5">
      <c r="A184" s="75" t="s">
        <v>514</v>
      </c>
      <c r="B184" s="78">
        <v>20220759</v>
      </c>
      <c r="C184" s="78" t="s">
        <v>633</v>
      </c>
      <c r="D184" s="79" t="s">
        <v>7</v>
      </c>
      <c r="E184" s="80">
        <v>1</v>
      </c>
    </row>
    <row r="185" spans="1:5">
      <c r="A185" s="75" t="s">
        <v>514</v>
      </c>
      <c r="B185" s="78">
        <v>20220760</v>
      </c>
      <c r="C185" s="78" t="s">
        <v>633</v>
      </c>
      <c r="D185" s="79" t="s">
        <v>7</v>
      </c>
      <c r="E185" s="80">
        <v>1</v>
      </c>
    </row>
    <row r="186" spans="1:5">
      <c r="A186" s="75" t="s">
        <v>514</v>
      </c>
      <c r="B186" s="78">
        <v>20220761</v>
      </c>
      <c r="C186" s="78" t="s">
        <v>633</v>
      </c>
      <c r="D186" s="79" t="s">
        <v>7</v>
      </c>
      <c r="E186" s="80">
        <v>1</v>
      </c>
    </row>
    <row r="187" spans="1:5">
      <c r="A187" s="75" t="s">
        <v>514</v>
      </c>
      <c r="B187" s="78">
        <v>20220762</v>
      </c>
      <c r="C187" s="78" t="s">
        <v>633</v>
      </c>
      <c r="D187" s="79" t="s">
        <v>7</v>
      </c>
      <c r="E187" s="80">
        <v>1</v>
      </c>
    </row>
    <row r="188" spans="1:5">
      <c r="A188" s="75" t="s">
        <v>514</v>
      </c>
      <c r="B188" s="78">
        <v>20220763</v>
      </c>
      <c r="C188" s="78" t="s">
        <v>633</v>
      </c>
      <c r="D188" s="79" t="s">
        <v>7</v>
      </c>
      <c r="E188" s="80">
        <v>1</v>
      </c>
    </row>
    <row r="189" spans="1:5">
      <c r="A189" s="75" t="s">
        <v>514</v>
      </c>
      <c r="B189" s="78">
        <v>20220764</v>
      </c>
      <c r="C189" s="78" t="s">
        <v>633</v>
      </c>
      <c r="D189" s="79" t="s">
        <v>7</v>
      </c>
      <c r="E189" s="80">
        <v>1</v>
      </c>
    </row>
    <row r="190" spans="1:5">
      <c r="A190" s="75" t="s">
        <v>514</v>
      </c>
      <c r="B190" s="78">
        <v>20220765</v>
      </c>
      <c r="C190" s="78" t="s">
        <v>633</v>
      </c>
      <c r="D190" s="79" t="s">
        <v>7</v>
      </c>
      <c r="E190" s="80">
        <v>1</v>
      </c>
    </row>
    <row r="191" spans="1:5">
      <c r="A191" s="75" t="s">
        <v>514</v>
      </c>
      <c r="B191" s="78">
        <v>20220766</v>
      </c>
      <c r="C191" s="78" t="s">
        <v>633</v>
      </c>
      <c r="D191" s="79" t="s">
        <v>7</v>
      </c>
      <c r="E191" s="80">
        <v>1</v>
      </c>
    </row>
    <row r="192" spans="1:5">
      <c r="A192" s="75" t="s">
        <v>514</v>
      </c>
      <c r="B192" s="78">
        <v>20220767</v>
      </c>
      <c r="C192" s="78" t="s">
        <v>633</v>
      </c>
      <c r="D192" s="79" t="s">
        <v>7</v>
      </c>
      <c r="E192" s="80">
        <v>1</v>
      </c>
    </row>
    <row r="193" spans="1:5">
      <c r="A193" s="75" t="s">
        <v>514</v>
      </c>
      <c r="B193" s="78">
        <v>20220768</v>
      </c>
      <c r="C193" s="78" t="s">
        <v>633</v>
      </c>
      <c r="D193" s="79" t="s">
        <v>7</v>
      </c>
      <c r="E193" s="80">
        <v>1</v>
      </c>
    </row>
    <row r="194" spans="1:5">
      <c r="A194" s="75" t="s">
        <v>514</v>
      </c>
      <c r="B194" s="78">
        <v>20220769</v>
      </c>
      <c r="C194" s="78" t="s">
        <v>633</v>
      </c>
      <c r="D194" s="79" t="s">
        <v>7</v>
      </c>
      <c r="E194" s="80">
        <v>1</v>
      </c>
    </row>
    <row r="195" spans="1:5">
      <c r="A195" s="75" t="s">
        <v>514</v>
      </c>
      <c r="B195" s="78">
        <v>20220770</v>
      </c>
      <c r="C195" s="78" t="s">
        <v>633</v>
      </c>
      <c r="D195" s="79" t="s">
        <v>7</v>
      </c>
      <c r="E195" s="80">
        <v>1</v>
      </c>
    </row>
    <row r="196" spans="1:5">
      <c r="A196" s="75" t="s">
        <v>514</v>
      </c>
      <c r="B196" s="78">
        <v>20220771</v>
      </c>
      <c r="C196" s="78" t="s">
        <v>633</v>
      </c>
      <c r="D196" s="79" t="s">
        <v>7</v>
      </c>
      <c r="E196" s="80">
        <v>1</v>
      </c>
    </row>
    <row r="197" spans="1:5">
      <c r="A197" s="75" t="s">
        <v>514</v>
      </c>
      <c r="B197" s="78">
        <v>20220772</v>
      </c>
      <c r="C197" s="78" t="s">
        <v>633</v>
      </c>
      <c r="D197" s="79" t="s">
        <v>7</v>
      </c>
      <c r="E197" s="80">
        <v>1</v>
      </c>
    </row>
    <row r="198" spans="1:5">
      <c r="A198" s="75" t="s">
        <v>514</v>
      </c>
      <c r="B198" s="78">
        <v>20220773</v>
      </c>
      <c r="C198" s="78" t="s">
        <v>633</v>
      </c>
      <c r="D198" s="79" t="s">
        <v>7</v>
      </c>
      <c r="E198" s="80">
        <v>1</v>
      </c>
    </row>
    <row r="199" spans="1:5">
      <c r="A199" s="75" t="s">
        <v>514</v>
      </c>
      <c r="B199" s="78">
        <v>20220774</v>
      </c>
      <c r="C199" s="78" t="s">
        <v>633</v>
      </c>
      <c r="D199" s="79" t="s">
        <v>7</v>
      </c>
      <c r="E199" s="80">
        <v>1</v>
      </c>
    </row>
    <row r="200" spans="1:5">
      <c r="A200" s="75" t="s">
        <v>514</v>
      </c>
      <c r="B200" s="78">
        <v>20220775</v>
      </c>
      <c r="C200" s="78" t="s">
        <v>633</v>
      </c>
      <c r="D200" s="79" t="s">
        <v>7</v>
      </c>
      <c r="E200" s="80">
        <v>1</v>
      </c>
    </row>
    <row r="201" spans="1:5">
      <c r="A201" s="75" t="s">
        <v>514</v>
      </c>
      <c r="B201" s="78">
        <v>20220776</v>
      </c>
      <c r="C201" s="78" t="s">
        <v>633</v>
      </c>
      <c r="D201" s="79" t="s">
        <v>7</v>
      </c>
      <c r="E201" s="80">
        <v>1</v>
      </c>
    </row>
    <row r="202" spans="1:5">
      <c r="A202" s="75" t="s">
        <v>514</v>
      </c>
      <c r="B202" s="78">
        <v>20220777</v>
      </c>
      <c r="C202" s="78" t="s">
        <v>633</v>
      </c>
      <c r="D202" s="79" t="s">
        <v>7</v>
      </c>
      <c r="E202" s="80">
        <v>1</v>
      </c>
    </row>
    <row r="203" spans="1:5">
      <c r="A203" s="75" t="s">
        <v>514</v>
      </c>
      <c r="B203" s="78">
        <v>20220778</v>
      </c>
      <c r="C203" s="78" t="s">
        <v>633</v>
      </c>
      <c r="D203" s="79" t="s">
        <v>7</v>
      </c>
      <c r="E203" s="80">
        <v>1</v>
      </c>
    </row>
    <row r="204" spans="1:5">
      <c r="A204" s="75" t="s">
        <v>514</v>
      </c>
      <c r="B204" s="78">
        <v>20220779</v>
      </c>
      <c r="C204" s="78" t="s">
        <v>633</v>
      </c>
      <c r="D204" s="79" t="s">
        <v>7</v>
      </c>
      <c r="E204" s="80">
        <v>1</v>
      </c>
    </row>
    <row r="205" spans="1:5">
      <c r="A205" s="75" t="s">
        <v>514</v>
      </c>
      <c r="B205" s="78">
        <v>20220780</v>
      </c>
      <c r="C205" s="78" t="s">
        <v>633</v>
      </c>
      <c r="D205" s="79" t="s">
        <v>7</v>
      </c>
      <c r="E205" s="80">
        <v>1</v>
      </c>
    </row>
    <row r="206" spans="1:5">
      <c r="A206" s="75" t="s">
        <v>514</v>
      </c>
      <c r="B206" s="78">
        <v>20220781</v>
      </c>
      <c r="C206" s="78" t="s">
        <v>633</v>
      </c>
      <c r="D206" s="79" t="s">
        <v>7</v>
      </c>
      <c r="E206" s="80">
        <v>1</v>
      </c>
    </row>
    <row r="207" spans="1:5">
      <c r="A207" s="75" t="s">
        <v>514</v>
      </c>
      <c r="B207" s="78">
        <v>20220782</v>
      </c>
      <c r="C207" s="78" t="s">
        <v>633</v>
      </c>
      <c r="D207" s="79" t="s">
        <v>7</v>
      </c>
      <c r="E207" s="80">
        <v>1</v>
      </c>
    </row>
    <row r="208" spans="1:5">
      <c r="A208" s="75" t="s">
        <v>514</v>
      </c>
      <c r="B208" s="78">
        <v>20220783</v>
      </c>
      <c r="C208" s="78" t="s">
        <v>633</v>
      </c>
      <c r="D208" s="79" t="s">
        <v>7</v>
      </c>
      <c r="E208" s="80">
        <v>1</v>
      </c>
    </row>
    <row r="209" spans="1:5">
      <c r="A209" s="75" t="s">
        <v>514</v>
      </c>
      <c r="B209" s="78">
        <v>20220784</v>
      </c>
      <c r="C209" s="78" t="s">
        <v>633</v>
      </c>
      <c r="D209" s="79" t="s">
        <v>7</v>
      </c>
      <c r="E209" s="80">
        <v>1</v>
      </c>
    </row>
    <row r="210" spans="1:5">
      <c r="A210" s="75" t="s">
        <v>514</v>
      </c>
      <c r="B210" s="78">
        <v>20220785</v>
      </c>
      <c r="C210" s="78" t="s">
        <v>633</v>
      </c>
      <c r="D210" s="79" t="s">
        <v>7</v>
      </c>
      <c r="E210" s="80">
        <v>1</v>
      </c>
    </row>
    <row r="211" spans="1:5">
      <c r="A211" s="75" t="s">
        <v>514</v>
      </c>
      <c r="B211" s="78">
        <v>20220786</v>
      </c>
      <c r="C211" s="78" t="s">
        <v>633</v>
      </c>
      <c r="D211" s="79" t="s">
        <v>7</v>
      </c>
      <c r="E211" s="80">
        <v>1</v>
      </c>
    </row>
    <row r="212" spans="1:5">
      <c r="A212" s="75" t="s">
        <v>514</v>
      </c>
      <c r="B212" s="78">
        <v>20220787</v>
      </c>
      <c r="C212" s="78" t="s">
        <v>633</v>
      </c>
      <c r="D212" s="79" t="s">
        <v>7</v>
      </c>
      <c r="E212" s="80">
        <v>1</v>
      </c>
    </row>
    <row r="213" spans="1:5">
      <c r="A213" s="75" t="s">
        <v>514</v>
      </c>
      <c r="B213" s="78">
        <v>20220927</v>
      </c>
      <c r="C213" s="78" t="s">
        <v>634</v>
      </c>
      <c r="D213" s="79" t="s">
        <v>7</v>
      </c>
      <c r="E213" s="80">
        <v>1</v>
      </c>
    </row>
    <row r="214" spans="1:5">
      <c r="A214" s="75" t="s">
        <v>514</v>
      </c>
      <c r="B214" s="78">
        <v>20220928</v>
      </c>
      <c r="C214" s="78" t="s">
        <v>634</v>
      </c>
      <c r="D214" s="79" t="s">
        <v>7</v>
      </c>
      <c r="E214" s="80">
        <v>1</v>
      </c>
    </row>
    <row r="215" spans="1:5">
      <c r="A215" s="75" t="s">
        <v>514</v>
      </c>
      <c r="B215" s="78">
        <v>20230565</v>
      </c>
      <c r="C215" s="78" t="s">
        <v>635</v>
      </c>
      <c r="D215" s="79" t="s">
        <v>7</v>
      </c>
      <c r="E215" s="80">
        <v>1</v>
      </c>
    </row>
    <row r="216" spans="1:5">
      <c r="A216" s="75" t="s">
        <v>514</v>
      </c>
      <c r="B216" s="78">
        <v>20230566</v>
      </c>
      <c r="C216" s="78" t="s">
        <v>636</v>
      </c>
      <c r="D216" s="79" t="s">
        <v>7</v>
      </c>
      <c r="E216" s="80">
        <v>1</v>
      </c>
    </row>
    <row r="217" spans="1:5">
      <c r="A217" s="75" t="s">
        <v>514</v>
      </c>
      <c r="B217" s="78">
        <v>20230592</v>
      </c>
      <c r="C217" s="78" t="s">
        <v>637</v>
      </c>
      <c r="D217" s="79" t="s">
        <v>7</v>
      </c>
      <c r="E217" s="80">
        <v>1</v>
      </c>
    </row>
    <row r="218" spans="1:5">
      <c r="A218" s="75" t="s">
        <v>514</v>
      </c>
      <c r="B218" s="78">
        <v>20230593</v>
      </c>
      <c r="C218" s="78" t="s">
        <v>638</v>
      </c>
      <c r="D218" s="79" t="s">
        <v>7</v>
      </c>
      <c r="E218" s="80">
        <v>1</v>
      </c>
    </row>
    <row r="219" spans="1:5">
      <c r="A219" s="75" t="s">
        <v>514</v>
      </c>
      <c r="B219" s="78">
        <v>20160409</v>
      </c>
      <c r="C219" s="78" t="s">
        <v>639</v>
      </c>
      <c r="D219" s="79" t="s">
        <v>7</v>
      </c>
      <c r="E219" s="80">
        <v>1</v>
      </c>
    </row>
    <row r="220" spans="1:5">
      <c r="A220" s="75" t="s">
        <v>514</v>
      </c>
      <c r="B220" s="78">
        <v>20160410</v>
      </c>
      <c r="C220" s="78" t="s">
        <v>639</v>
      </c>
      <c r="D220" s="79" t="s">
        <v>7</v>
      </c>
      <c r="E220" s="80">
        <v>1</v>
      </c>
    </row>
    <row r="221" spans="1:5">
      <c r="A221" s="75" t="s">
        <v>514</v>
      </c>
      <c r="B221" s="78">
        <v>20160581</v>
      </c>
      <c r="C221" s="78" t="s">
        <v>640</v>
      </c>
      <c r="D221" s="79" t="s">
        <v>7</v>
      </c>
      <c r="E221" s="80">
        <v>1</v>
      </c>
    </row>
    <row r="222" spans="1:5">
      <c r="A222" s="75" t="s">
        <v>514</v>
      </c>
      <c r="B222" s="78">
        <v>20181056</v>
      </c>
      <c r="C222" s="78" t="s">
        <v>641</v>
      </c>
      <c r="D222" s="79" t="s">
        <v>7</v>
      </c>
      <c r="E222" s="80">
        <v>1</v>
      </c>
    </row>
    <row r="223" spans="1:5">
      <c r="A223" s="75" t="s">
        <v>514</v>
      </c>
      <c r="B223" s="78">
        <v>20181058</v>
      </c>
      <c r="C223" s="78" t="s">
        <v>642</v>
      </c>
      <c r="D223" s="79" t="s">
        <v>7</v>
      </c>
      <c r="E223" s="80">
        <v>1</v>
      </c>
    </row>
    <row r="224" spans="1:5">
      <c r="A224" s="75" t="s">
        <v>514</v>
      </c>
      <c r="B224" s="78">
        <v>20230535</v>
      </c>
      <c r="C224" s="78" t="s">
        <v>591</v>
      </c>
      <c r="D224" s="79" t="s">
        <v>7</v>
      </c>
      <c r="E224" s="80">
        <v>1</v>
      </c>
    </row>
    <row r="225" spans="1:5">
      <c r="A225" s="75" t="s">
        <v>514</v>
      </c>
      <c r="B225" s="78">
        <v>20230599</v>
      </c>
      <c r="C225" s="78" t="s">
        <v>592</v>
      </c>
      <c r="D225" s="79" t="s">
        <v>7</v>
      </c>
      <c r="E225" s="80">
        <v>1</v>
      </c>
    </row>
    <row r="226" spans="1:5">
      <c r="A226" s="75" t="s">
        <v>514</v>
      </c>
      <c r="B226" s="78">
        <v>20220305</v>
      </c>
      <c r="C226" s="78" t="s">
        <v>643</v>
      </c>
      <c r="D226" s="79" t="s">
        <v>7</v>
      </c>
      <c r="E226" s="80">
        <v>1</v>
      </c>
    </row>
    <row r="227" spans="1:5">
      <c r="A227" s="75" t="s">
        <v>514</v>
      </c>
      <c r="B227" s="78">
        <v>20220306</v>
      </c>
      <c r="C227" s="78" t="s">
        <v>643</v>
      </c>
      <c r="D227" s="79" t="s">
        <v>7</v>
      </c>
      <c r="E227" s="80">
        <v>1</v>
      </c>
    </row>
    <row r="228" spans="1:5">
      <c r="A228" s="75" t="s">
        <v>514</v>
      </c>
      <c r="B228" s="78">
        <v>20220307</v>
      </c>
      <c r="C228" s="78" t="s">
        <v>644</v>
      </c>
      <c r="D228" s="79" t="s">
        <v>7</v>
      </c>
      <c r="E228" s="80">
        <v>1</v>
      </c>
    </row>
    <row r="229" spans="1:5">
      <c r="A229" s="75" t="s">
        <v>514</v>
      </c>
      <c r="B229" s="78">
        <v>20220308</v>
      </c>
      <c r="C229" s="78" t="s">
        <v>644</v>
      </c>
      <c r="D229" s="79" t="s">
        <v>7</v>
      </c>
      <c r="E229" s="80">
        <v>1</v>
      </c>
    </row>
    <row r="230" spans="1:5">
      <c r="A230" s="75" t="s">
        <v>514</v>
      </c>
      <c r="B230" s="78">
        <v>20220309</v>
      </c>
      <c r="C230" s="78" t="s">
        <v>645</v>
      </c>
      <c r="D230" s="79" t="s">
        <v>7</v>
      </c>
      <c r="E230" s="80">
        <v>1</v>
      </c>
    </row>
    <row r="231" spans="1:5">
      <c r="A231" s="75" t="s">
        <v>514</v>
      </c>
      <c r="B231" s="78">
        <v>20220319</v>
      </c>
      <c r="C231" s="78" t="s">
        <v>646</v>
      </c>
      <c r="D231" s="79" t="s">
        <v>7</v>
      </c>
      <c r="E231" s="80">
        <v>1</v>
      </c>
    </row>
    <row r="232" spans="1:5">
      <c r="A232" s="75" t="s">
        <v>514</v>
      </c>
      <c r="B232" s="78">
        <v>20220320</v>
      </c>
      <c r="C232" s="78" t="s">
        <v>646</v>
      </c>
      <c r="D232" s="79" t="s">
        <v>7</v>
      </c>
      <c r="E232" s="80">
        <v>1</v>
      </c>
    </row>
    <row r="233" spans="1:5">
      <c r="A233" s="75" t="s">
        <v>514</v>
      </c>
      <c r="B233" s="78">
        <v>20230016</v>
      </c>
      <c r="C233" s="78" t="s">
        <v>108</v>
      </c>
      <c r="D233" s="79" t="s">
        <v>7</v>
      </c>
      <c r="E233" s="80">
        <v>1</v>
      </c>
    </row>
    <row r="234" spans="1:5">
      <c r="A234" s="75" t="s">
        <v>514</v>
      </c>
      <c r="B234" s="78">
        <v>20230542</v>
      </c>
      <c r="C234" s="78" t="s">
        <v>647</v>
      </c>
      <c r="D234" s="79" t="s">
        <v>7</v>
      </c>
      <c r="E234" s="80">
        <v>1</v>
      </c>
    </row>
    <row r="235" spans="1:5">
      <c r="A235" s="75" t="s">
        <v>514</v>
      </c>
      <c r="B235" s="78">
        <v>20230543</v>
      </c>
      <c r="C235" s="78" t="s">
        <v>647</v>
      </c>
      <c r="D235" s="79" t="s">
        <v>7</v>
      </c>
      <c r="E235" s="80">
        <v>1</v>
      </c>
    </row>
    <row r="236" spans="1:5">
      <c r="A236" s="75" t="s">
        <v>514</v>
      </c>
      <c r="B236" s="78">
        <v>20230544</v>
      </c>
      <c r="C236" s="78" t="s">
        <v>648</v>
      </c>
      <c r="D236" s="79" t="s">
        <v>7</v>
      </c>
      <c r="E236" s="80">
        <v>1</v>
      </c>
    </row>
    <row r="237" spans="1:5">
      <c r="A237" s="75" t="s">
        <v>514</v>
      </c>
      <c r="B237" s="78">
        <v>20230545</v>
      </c>
      <c r="C237" s="78" t="s">
        <v>649</v>
      </c>
      <c r="D237" s="79" t="s">
        <v>7</v>
      </c>
      <c r="E237" s="80">
        <v>1</v>
      </c>
    </row>
    <row r="238" spans="1:5">
      <c r="A238" s="75" t="s">
        <v>514</v>
      </c>
      <c r="B238" s="78">
        <v>20230546</v>
      </c>
      <c r="C238" s="78" t="s">
        <v>649</v>
      </c>
      <c r="D238" s="79" t="s">
        <v>7</v>
      </c>
      <c r="E238" s="80">
        <v>1</v>
      </c>
    </row>
    <row r="239" spans="1:5">
      <c r="A239" s="75" t="s">
        <v>514</v>
      </c>
      <c r="B239" s="78">
        <v>20230547</v>
      </c>
      <c r="C239" s="78" t="s">
        <v>650</v>
      </c>
      <c r="D239" s="79" t="s">
        <v>7</v>
      </c>
      <c r="E239" s="80">
        <v>1</v>
      </c>
    </row>
    <row r="240" spans="1:5">
      <c r="A240" s="75" t="s">
        <v>514</v>
      </c>
      <c r="B240" s="78">
        <v>20230570</v>
      </c>
      <c r="C240" s="78" t="s">
        <v>647</v>
      </c>
      <c r="D240" s="79" t="s">
        <v>7</v>
      </c>
      <c r="E240" s="80">
        <v>1</v>
      </c>
    </row>
    <row r="241" spans="1:5">
      <c r="A241" s="75" t="s">
        <v>514</v>
      </c>
      <c r="B241" s="78">
        <v>20230571</v>
      </c>
      <c r="C241" s="78" t="s">
        <v>647</v>
      </c>
      <c r="D241" s="79" t="s">
        <v>7</v>
      </c>
      <c r="E241" s="80">
        <v>1</v>
      </c>
    </row>
    <row r="242" spans="1:5">
      <c r="A242" s="75" t="s">
        <v>514</v>
      </c>
      <c r="B242" s="78">
        <v>20230572</v>
      </c>
      <c r="C242" s="78" t="s">
        <v>649</v>
      </c>
      <c r="D242" s="79" t="s">
        <v>7</v>
      </c>
      <c r="E242" s="80">
        <v>1</v>
      </c>
    </row>
    <row r="243" spans="1:5">
      <c r="A243" s="75" t="s">
        <v>514</v>
      </c>
      <c r="B243" s="78">
        <v>20230573</v>
      </c>
      <c r="C243" s="78" t="s">
        <v>649</v>
      </c>
      <c r="D243" s="79" t="s">
        <v>7</v>
      </c>
      <c r="E243" s="80">
        <v>1</v>
      </c>
    </row>
    <row r="244" spans="1:5">
      <c r="A244" s="75" t="s">
        <v>514</v>
      </c>
      <c r="B244" s="78">
        <v>20230574</v>
      </c>
      <c r="C244" s="78" t="s">
        <v>651</v>
      </c>
      <c r="D244" s="79" t="s">
        <v>7</v>
      </c>
      <c r="E244" s="80">
        <v>1</v>
      </c>
    </row>
    <row r="245" spans="1:5">
      <c r="A245" s="75" t="s">
        <v>514</v>
      </c>
      <c r="B245" s="78">
        <v>20220317</v>
      </c>
      <c r="C245" s="78" t="s">
        <v>652</v>
      </c>
      <c r="D245" s="79" t="s">
        <v>7</v>
      </c>
      <c r="E245" s="80">
        <v>1</v>
      </c>
    </row>
    <row r="246" spans="1:5">
      <c r="A246" s="75" t="s">
        <v>514</v>
      </c>
      <c r="B246" s="78">
        <v>20220324</v>
      </c>
      <c r="C246" s="78" t="s">
        <v>653</v>
      </c>
      <c r="D246" s="79" t="s">
        <v>7</v>
      </c>
      <c r="E246" s="80">
        <v>1</v>
      </c>
    </row>
    <row r="247" spans="1:5">
      <c r="A247" s="75" t="s">
        <v>514</v>
      </c>
      <c r="B247" s="78">
        <v>20220325</v>
      </c>
      <c r="C247" s="78" t="s">
        <v>654</v>
      </c>
      <c r="D247" s="79" t="s">
        <v>7</v>
      </c>
      <c r="E247" s="80">
        <v>1</v>
      </c>
    </row>
    <row r="248" spans="1:5">
      <c r="A248" s="75" t="s">
        <v>514</v>
      </c>
      <c r="B248" s="78">
        <v>20220326</v>
      </c>
      <c r="C248" s="78" t="s">
        <v>655</v>
      </c>
      <c r="D248" s="79" t="s">
        <v>7</v>
      </c>
      <c r="E248" s="80">
        <v>1</v>
      </c>
    </row>
    <row r="249" spans="1:5">
      <c r="A249" s="75" t="s">
        <v>514</v>
      </c>
      <c r="B249" s="78">
        <v>20171657</v>
      </c>
      <c r="C249" s="78" t="s">
        <v>35</v>
      </c>
      <c r="D249" s="79" t="s">
        <v>7</v>
      </c>
      <c r="E249" s="80">
        <v>1</v>
      </c>
    </row>
    <row r="250" spans="1:5">
      <c r="A250" s="75" t="s">
        <v>514</v>
      </c>
      <c r="B250" s="78">
        <v>20230017</v>
      </c>
      <c r="C250" s="78" t="s">
        <v>108</v>
      </c>
      <c r="D250" s="79" t="s">
        <v>7</v>
      </c>
      <c r="E250" s="80">
        <v>1</v>
      </c>
    </row>
    <row r="251" spans="1:5">
      <c r="A251" s="75" t="s">
        <v>514</v>
      </c>
      <c r="B251" s="78">
        <v>20220315</v>
      </c>
      <c r="C251" s="78" t="s">
        <v>656</v>
      </c>
      <c r="D251" s="79" t="s">
        <v>7</v>
      </c>
      <c r="E251" s="80">
        <v>1</v>
      </c>
    </row>
    <row r="252" spans="1:5">
      <c r="A252" s="75" t="s">
        <v>514</v>
      </c>
      <c r="B252" s="78">
        <v>20220316</v>
      </c>
      <c r="C252" s="78" t="s">
        <v>656</v>
      </c>
      <c r="D252" s="79" t="s">
        <v>7</v>
      </c>
      <c r="E252" s="80">
        <v>1</v>
      </c>
    </row>
    <row r="253" spans="1:5">
      <c r="A253" s="75" t="s">
        <v>514</v>
      </c>
      <c r="B253" s="78">
        <v>20220322</v>
      </c>
      <c r="C253" s="78" t="s">
        <v>532</v>
      </c>
      <c r="D253" s="79" t="s">
        <v>7</v>
      </c>
      <c r="E253" s="80">
        <v>1</v>
      </c>
    </row>
    <row r="254" spans="1:5">
      <c r="A254" s="75" t="s">
        <v>514</v>
      </c>
      <c r="B254" s="78">
        <v>20220323</v>
      </c>
      <c r="C254" s="78" t="s">
        <v>657</v>
      </c>
      <c r="D254" s="79" t="s">
        <v>7</v>
      </c>
      <c r="E254" s="80">
        <v>1</v>
      </c>
    </row>
    <row r="255" spans="1:5">
      <c r="A255" s="75" t="s">
        <v>514</v>
      </c>
      <c r="B255" s="78">
        <v>20220724</v>
      </c>
      <c r="C255" s="78" t="s">
        <v>658</v>
      </c>
      <c r="D255" s="79" t="s">
        <v>7</v>
      </c>
      <c r="E255" s="80">
        <v>1</v>
      </c>
    </row>
    <row r="256" spans="1:5">
      <c r="A256" s="75" t="s">
        <v>514</v>
      </c>
      <c r="B256" s="78">
        <v>20220725</v>
      </c>
      <c r="C256" s="78" t="s">
        <v>658</v>
      </c>
      <c r="D256" s="79" t="s">
        <v>7</v>
      </c>
      <c r="E256" s="80">
        <v>1</v>
      </c>
    </row>
    <row r="257" spans="1:5">
      <c r="A257" s="75" t="s">
        <v>514</v>
      </c>
      <c r="B257" s="78">
        <v>20220726</v>
      </c>
      <c r="C257" s="78" t="s">
        <v>658</v>
      </c>
      <c r="D257" s="79" t="s">
        <v>7</v>
      </c>
      <c r="E257" s="80">
        <v>1</v>
      </c>
    </row>
    <row r="258" spans="1:5">
      <c r="A258" s="75" t="s">
        <v>514</v>
      </c>
      <c r="B258" s="78">
        <v>20220727</v>
      </c>
      <c r="C258" s="78" t="s">
        <v>658</v>
      </c>
      <c r="D258" s="79" t="s">
        <v>7</v>
      </c>
      <c r="E258" s="80">
        <v>1</v>
      </c>
    </row>
    <row r="259" spans="1:5">
      <c r="A259" s="75" t="s">
        <v>514</v>
      </c>
      <c r="B259" s="78">
        <v>20220728</v>
      </c>
      <c r="C259" s="78" t="s">
        <v>658</v>
      </c>
      <c r="D259" s="79" t="s">
        <v>7</v>
      </c>
      <c r="E259" s="80">
        <v>1</v>
      </c>
    </row>
    <row r="260" spans="1:5">
      <c r="A260" s="75" t="s">
        <v>514</v>
      </c>
      <c r="B260" s="78">
        <v>20220729</v>
      </c>
      <c r="C260" s="78" t="s">
        <v>658</v>
      </c>
      <c r="D260" s="79" t="s">
        <v>7</v>
      </c>
      <c r="E260" s="80">
        <v>1</v>
      </c>
    </row>
    <row r="261" spans="1:5">
      <c r="A261" s="75" t="s">
        <v>514</v>
      </c>
      <c r="B261" s="78">
        <v>20220730</v>
      </c>
      <c r="C261" s="78" t="s">
        <v>658</v>
      </c>
      <c r="D261" s="79" t="s">
        <v>7</v>
      </c>
      <c r="E261" s="80">
        <v>1</v>
      </c>
    </row>
    <row r="262" spans="1:5">
      <c r="A262" s="75" t="s">
        <v>514</v>
      </c>
      <c r="B262" s="78">
        <v>20220731</v>
      </c>
      <c r="C262" s="78" t="s">
        <v>658</v>
      </c>
      <c r="D262" s="79" t="s">
        <v>7</v>
      </c>
      <c r="E262" s="80">
        <v>1</v>
      </c>
    </row>
    <row r="263" spans="1:5">
      <c r="A263" s="75" t="s">
        <v>514</v>
      </c>
      <c r="B263" s="78">
        <v>20220732</v>
      </c>
      <c r="C263" s="78" t="s">
        <v>658</v>
      </c>
      <c r="D263" s="79" t="s">
        <v>7</v>
      </c>
      <c r="E263" s="80">
        <v>1</v>
      </c>
    </row>
    <row r="264" spans="1:5">
      <c r="A264" s="75" t="s">
        <v>514</v>
      </c>
      <c r="B264" s="78">
        <v>20220733</v>
      </c>
      <c r="C264" s="78" t="s">
        <v>658</v>
      </c>
      <c r="D264" s="79" t="s">
        <v>7</v>
      </c>
      <c r="E264" s="80">
        <v>1</v>
      </c>
    </row>
    <row r="265" spans="1:5">
      <c r="A265" s="75" t="s">
        <v>514</v>
      </c>
      <c r="B265" s="78">
        <v>20220734</v>
      </c>
      <c r="C265" s="78" t="s">
        <v>658</v>
      </c>
      <c r="D265" s="79" t="s">
        <v>7</v>
      </c>
      <c r="E265" s="80">
        <v>1</v>
      </c>
    </row>
    <row r="266" spans="1:5">
      <c r="A266" s="75" t="s">
        <v>514</v>
      </c>
      <c r="B266" s="78">
        <v>20220735</v>
      </c>
      <c r="C266" s="78" t="s">
        <v>658</v>
      </c>
      <c r="D266" s="79" t="s">
        <v>7</v>
      </c>
      <c r="E266" s="80">
        <v>1</v>
      </c>
    </row>
    <row r="267" spans="1:5">
      <c r="A267" s="75" t="s">
        <v>514</v>
      </c>
      <c r="B267" s="78">
        <v>20220736</v>
      </c>
      <c r="C267" s="78" t="s">
        <v>658</v>
      </c>
      <c r="D267" s="79" t="s">
        <v>7</v>
      </c>
      <c r="E267" s="80">
        <v>1</v>
      </c>
    </row>
    <row r="268" spans="1:5">
      <c r="A268" s="75" t="s">
        <v>514</v>
      </c>
      <c r="B268" s="78">
        <v>20220737</v>
      </c>
      <c r="C268" s="78" t="s">
        <v>658</v>
      </c>
      <c r="D268" s="79" t="s">
        <v>7</v>
      </c>
      <c r="E268" s="80">
        <v>1</v>
      </c>
    </row>
    <row r="269" spans="1:5">
      <c r="A269" s="75" t="s">
        <v>514</v>
      </c>
      <c r="B269" s="78">
        <v>20220738</v>
      </c>
      <c r="C269" s="78" t="s">
        <v>658</v>
      </c>
      <c r="D269" s="79" t="s">
        <v>7</v>
      </c>
      <c r="E269" s="80">
        <v>1</v>
      </c>
    </row>
    <row r="270" spans="1:5">
      <c r="A270" s="75" t="s">
        <v>514</v>
      </c>
      <c r="B270" s="78">
        <v>20220739</v>
      </c>
      <c r="C270" s="78" t="s">
        <v>658</v>
      </c>
      <c r="D270" s="79" t="s">
        <v>7</v>
      </c>
      <c r="E270" s="80">
        <v>1</v>
      </c>
    </row>
    <row r="271" spans="1:5">
      <c r="A271" s="75" t="s">
        <v>514</v>
      </c>
      <c r="B271" s="78">
        <v>20220740</v>
      </c>
      <c r="C271" s="78" t="s">
        <v>658</v>
      </c>
      <c r="D271" s="79" t="s">
        <v>7</v>
      </c>
      <c r="E271" s="80">
        <v>1</v>
      </c>
    </row>
    <row r="272" spans="1:5">
      <c r="A272" s="75" t="s">
        <v>514</v>
      </c>
      <c r="B272" s="78">
        <v>20220741</v>
      </c>
      <c r="C272" s="78" t="s">
        <v>658</v>
      </c>
      <c r="D272" s="79" t="s">
        <v>7</v>
      </c>
      <c r="E272" s="80">
        <v>1</v>
      </c>
    </row>
    <row r="273" spans="1:5">
      <c r="A273" s="75" t="s">
        <v>514</v>
      </c>
      <c r="B273" s="78">
        <v>20220742</v>
      </c>
      <c r="C273" s="78" t="s">
        <v>658</v>
      </c>
      <c r="D273" s="79" t="s">
        <v>7</v>
      </c>
      <c r="E273" s="80">
        <v>1</v>
      </c>
    </row>
    <row r="274" spans="1:5">
      <c r="A274" s="75" t="s">
        <v>514</v>
      </c>
      <c r="B274" s="78">
        <v>20220743</v>
      </c>
      <c r="C274" s="78" t="s">
        <v>658</v>
      </c>
      <c r="D274" s="79" t="s">
        <v>7</v>
      </c>
      <c r="E274" s="80">
        <v>1</v>
      </c>
    </row>
    <row r="275" spans="1:5">
      <c r="A275" s="75" t="s">
        <v>514</v>
      </c>
      <c r="B275" s="78">
        <v>20181044</v>
      </c>
      <c r="C275" s="78" t="s">
        <v>659</v>
      </c>
      <c r="D275" s="79" t="s">
        <v>7</v>
      </c>
      <c r="E275" s="80">
        <v>1</v>
      </c>
    </row>
    <row r="276" spans="1:5">
      <c r="A276" s="75" t="s">
        <v>514</v>
      </c>
      <c r="B276" s="78">
        <v>20181045</v>
      </c>
      <c r="C276" s="78" t="s">
        <v>659</v>
      </c>
      <c r="D276" s="79" t="s">
        <v>7</v>
      </c>
      <c r="E276" s="80">
        <v>1</v>
      </c>
    </row>
    <row r="277" spans="1:5">
      <c r="A277" s="75" t="s">
        <v>514</v>
      </c>
      <c r="B277" s="78">
        <v>20181046</v>
      </c>
      <c r="C277" s="78" t="s">
        <v>659</v>
      </c>
      <c r="D277" s="79" t="s">
        <v>7</v>
      </c>
      <c r="E277" s="80">
        <v>1</v>
      </c>
    </row>
    <row r="278" spans="1:5">
      <c r="A278" s="75" t="s">
        <v>514</v>
      </c>
      <c r="B278" s="78">
        <v>20181047</v>
      </c>
      <c r="C278" s="78" t="s">
        <v>659</v>
      </c>
      <c r="D278" s="79" t="s">
        <v>7</v>
      </c>
      <c r="E278" s="80">
        <v>1</v>
      </c>
    </row>
    <row r="279" spans="1:5">
      <c r="A279" s="75" t="s">
        <v>514</v>
      </c>
      <c r="B279" s="78">
        <v>20181048</v>
      </c>
      <c r="C279" s="78" t="s">
        <v>659</v>
      </c>
      <c r="D279" s="79" t="s">
        <v>7</v>
      </c>
      <c r="E279" s="80">
        <v>1</v>
      </c>
    </row>
    <row r="280" spans="1:5">
      <c r="A280" s="75" t="s">
        <v>514</v>
      </c>
      <c r="B280" s="78">
        <v>20181049</v>
      </c>
      <c r="C280" s="78" t="s">
        <v>660</v>
      </c>
      <c r="D280" s="79" t="s">
        <v>7</v>
      </c>
      <c r="E280" s="80">
        <v>1</v>
      </c>
    </row>
    <row r="281" spans="1:5">
      <c r="A281" s="75" t="s">
        <v>514</v>
      </c>
      <c r="B281" s="78">
        <v>20181050</v>
      </c>
      <c r="C281" s="78" t="s">
        <v>660</v>
      </c>
      <c r="D281" s="79" t="s">
        <v>7</v>
      </c>
      <c r="E281" s="80">
        <v>1</v>
      </c>
    </row>
    <row r="282" spans="1:5">
      <c r="A282" s="75" t="s">
        <v>514</v>
      </c>
      <c r="B282" s="78">
        <v>20181051</v>
      </c>
      <c r="C282" s="78" t="s">
        <v>660</v>
      </c>
      <c r="D282" s="79" t="s">
        <v>7</v>
      </c>
      <c r="E282" s="80">
        <v>1</v>
      </c>
    </row>
    <row r="283" spans="1:5">
      <c r="A283" s="75" t="s">
        <v>514</v>
      </c>
      <c r="B283" s="78">
        <v>20181052</v>
      </c>
      <c r="C283" s="78" t="s">
        <v>660</v>
      </c>
      <c r="D283" s="79" t="s">
        <v>7</v>
      </c>
      <c r="E283" s="80">
        <v>1</v>
      </c>
    </row>
    <row r="284" spans="1:5">
      <c r="A284" s="75" t="s">
        <v>514</v>
      </c>
      <c r="B284" s="78">
        <v>20181053</v>
      </c>
      <c r="C284" s="78" t="s">
        <v>660</v>
      </c>
      <c r="D284" s="79" t="s">
        <v>7</v>
      </c>
      <c r="E284" s="80">
        <v>1</v>
      </c>
    </row>
    <row r="285" spans="1:5">
      <c r="A285" s="75" t="s">
        <v>514</v>
      </c>
      <c r="B285" s="78">
        <v>20181059</v>
      </c>
      <c r="C285" s="78" t="s">
        <v>603</v>
      </c>
      <c r="D285" s="79" t="s">
        <v>7</v>
      </c>
      <c r="E285" s="80">
        <v>1</v>
      </c>
    </row>
    <row r="286" spans="1:5">
      <c r="A286" s="75" t="s">
        <v>514</v>
      </c>
      <c r="B286" s="78">
        <v>20160411</v>
      </c>
      <c r="C286" s="78" t="s">
        <v>661</v>
      </c>
      <c r="D286" s="79" t="s">
        <v>7</v>
      </c>
      <c r="E286" s="80">
        <v>1</v>
      </c>
    </row>
    <row r="287" spans="1:5">
      <c r="A287" s="75" t="s">
        <v>514</v>
      </c>
      <c r="B287" s="78">
        <v>20180799</v>
      </c>
      <c r="C287" s="78" t="s">
        <v>662</v>
      </c>
      <c r="D287" s="79" t="s">
        <v>7</v>
      </c>
      <c r="E287" s="80">
        <v>1</v>
      </c>
    </row>
    <row r="288" spans="1:5">
      <c r="A288" s="75" t="s">
        <v>514</v>
      </c>
      <c r="B288" s="78">
        <v>20180800</v>
      </c>
      <c r="C288" s="78" t="s">
        <v>662</v>
      </c>
      <c r="D288" s="79" t="s">
        <v>7</v>
      </c>
      <c r="E288" s="80">
        <v>1</v>
      </c>
    </row>
    <row r="289" spans="1:5">
      <c r="A289" s="75" t="s">
        <v>514</v>
      </c>
      <c r="B289" s="78">
        <v>20180801</v>
      </c>
      <c r="C289" s="78" t="s">
        <v>663</v>
      </c>
      <c r="D289" s="79" t="s">
        <v>7</v>
      </c>
      <c r="E289" s="80">
        <v>1</v>
      </c>
    </row>
    <row r="290" spans="1:5">
      <c r="A290" s="75" t="s">
        <v>514</v>
      </c>
      <c r="B290" s="78">
        <v>20180802</v>
      </c>
      <c r="C290" s="78" t="s">
        <v>663</v>
      </c>
      <c r="D290" s="79" t="s">
        <v>7</v>
      </c>
      <c r="E290" s="80">
        <v>1</v>
      </c>
    </row>
    <row r="291" spans="1:5">
      <c r="A291" s="75" t="s">
        <v>514</v>
      </c>
      <c r="B291" s="78">
        <v>20181054</v>
      </c>
      <c r="C291" s="78" t="s">
        <v>664</v>
      </c>
      <c r="D291" s="79" t="s">
        <v>7</v>
      </c>
      <c r="E291" s="80">
        <v>1</v>
      </c>
    </row>
    <row r="292" spans="1:5">
      <c r="A292" s="75" t="s">
        <v>514</v>
      </c>
      <c r="B292" s="78" t="s">
        <v>665</v>
      </c>
      <c r="C292" s="78" t="s">
        <v>96</v>
      </c>
      <c r="D292" s="79" t="s">
        <v>7</v>
      </c>
      <c r="E292" s="80">
        <v>1</v>
      </c>
    </row>
    <row r="293" spans="1:5">
      <c r="A293" s="75" t="s">
        <v>514</v>
      </c>
      <c r="B293" s="78" t="s">
        <v>666</v>
      </c>
      <c r="C293" s="78" t="s">
        <v>96</v>
      </c>
      <c r="D293" s="79" t="s">
        <v>7</v>
      </c>
      <c r="E293" s="80">
        <v>1</v>
      </c>
    </row>
    <row r="294" spans="1:5">
      <c r="A294" s="75" t="s">
        <v>514</v>
      </c>
      <c r="B294" s="78" t="s">
        <v>667</v>
      </c>
      <c r="C294" s="78" t="s">
        <v>96</v>
      </c>
      <c r="D294" s="79" t="s">
        <v>7</v>
      </c>
      <c r="E294" s="80">
        <v>1</v>
      </c>
    </row>
    <row r="295" spans="1:5">
      <c r="A295" s="75" t="s">
        <v>514</v>
      </c>
      <c r="B295" s="78" t="s">
        <v>668</v>
      </c>
      <c r="C295" s="78" t="s">
        <v>96</v>
      </c>
      <c r="D295" s="79" t="s">
        <v>7</v>
      </c>
      <c r="E295" s="80">
        <v>1</v>
      </c>
    </row>
    <row r="296" spans="1:5">
      <c r="A296" s="75" t="s">
        <v>514</v>
      </c>
      <c r="B296" s="78" t="s">
        <v>669</v>
      </c>
      <c r="C296" s="78" t="s">
        <v>96</v>
      </c>
      <c r="D296" s="79" t="s">
        <v>7</v>
      </c>
      <c r="E296" s="80">
        <v>1</v>
      </c>
    </row>
    <row r="297" spans="1:5">
      <c r="A297" s="75" t="s">
        <v>514</v>
      </c>
      <c r="B297" s="78" t="s">
        <v>670</v>
      </c>
      <c r="C297" s="78" t="s">
        <v>96</v>
      </c>
      <c r="D297" s="79" t="s">
        <v>7</v>
      </c>
      <c r="E297" s="80">
        <v>1</v>
      </c>
    </row>
    <row r="298" spans="1:5">
      <c r="A298" s="75" t="s">
        <v>514</v>
      </c>
      <c r="B298" s="78" t="s">
        <v>671</v>
      </c>
      <c r="C298" s="78" t="s">
        <v>96</v>
      </c>
      <c r="D298" s="79" t="s">
        <v>7</v>
      </c>
      <c r="E298" s="80">
        <v>1</v>
      </c>
    </row>
    <row r="299" spans="1:5">
      <c r="A299" s="75" t="s">
        <v>514</v>
      </c>
      <c r="B299" s="78" t="s">
        <v>672</v>
      </c>
      <c r="C299" s="78" t="s">
        <v>96</v>
      </c>
      <c r="D299" s="79" t="s">
        <v>7</v>
      </c>
      <c r="E299" s="80">
        <v>1</v>
      </c>
    </row>
    <row r="300" spans="1:5">
      <c r="A300" s="75" t="s">
        <v>514</v>
      </c>
      <c r="B300" s="78" t="s">
        <v>673</v>
      </c>
      <c r="C300" s="78" t="s">
        <v>96</v>
      </c>
      <c r="D300" s="79" t="s">
        <v>7</v>
      </c>
      <c r="E300" s="80">
        <v>1</v>
      </c>
    </row>
    <row r="301" spans="1:5">
      <c r="A301" s="75" t="s">
        <v>514</v>
      </c>
      <c r="B301" s="78" t="s">
        <v>674</v>
      </c>
      <c r="C301" s="78" t="s">
        <v>96</v>
      </c>
      <c r="D301" s="79" t="s">
        <v>7</v>
      </c>
      <c r="E301" s="80">
        <v>1</v>
      </c>
    </row>
    <row r="302" spans="1:5">
      <c r="A302" s="75" t="s">
        <v>514</v>
      </c>
      <c r="B302" s="78" t="s">
        <v>675</v>
      </c>
      <c r="C302" s="78" t="s">
        <v>96</v>
      </c>
      <c r="D302" s="79" t="s">
        <v>7</v>
      </c>
      <c r="E302" s="80">
        <v>1</v>
      </c>
    </row>
    <row r="303" spans="1:5">
      <c r="A303" s="75" t="s">
        <v>514</v>
      </c>
      <c r="B303" s="78" t="s">
        <v>676</v>
      </c>
      <c r="C303" s="78" t="s">
        <v>96</v>
      </c>
      <c r="D303" s="79" t="s">
        <v>7</v>
      </c>
      <c r="E303" s="80">
        <v>1</v>
      </c>
    </row>
    <row r="304" spans="1:5">
      <c r="A304" s="75" t="s">
        <v>514</v>
      </c>
      <c r="B304" s="78" t="s">
        <v>677</v>
      </c>
      <c r="C304" s="78" t="s">
        <v>96</v>
      </c>
      <c r="D304" s="79" t="s">
        <v>7</v>
      </c>
      <c r="E304" s="80">
        <v>1</v>
      </c>
    </row>
    <row r="305" spans="1:5">
      <c r="A305" s="75" t="s">
        <v>514</v>
      </c>
      <c r="B305" s="78" t="s">
        <v>678</v>
      </c>
      <c r="C305" s="78" t="s">
        <v>96</v>
      </c>
      <c r="D305" s="79" t="s">
        <v>7</v>
      </c>
      <c r="E305" s="80">
        <v>1</v>
      </c>
    </row>
    <row r="306" spans="1:5">
      <c r="A306" s="75" t="s">
        <v>514</v>
      </c>
      <c r="B306" s="78" t="s">
        <v>679</v>
      </c>
      <c r="C306" s="78" t="s">
        <v>96</v>
      </c>
      <c r="D306" s="79" t="s">
        <v>7</v>
      </c>
      <c r="E306" s="80">
        <v>1</v>
      </c>
    </row>
    <row r="307" spans="1:5">
      <c r="A307" s="75" t="s">
        <v>514</v>
      </c>
      <c r="B307" s="78" t="s">
        <v>680</v>
      </c>
      <c r="C307" s="78" t="s">
        <v>681</v>
      </c>
      <c r="D307" s="79" t="s">
        <v>7</v>
      </c>
      <c r="E307" s="80">
        <v>1</v>
      </c>
    </row>
    <row r="308" spans="1:5">
      <c r="A308" s="75" t="s">
        <v>514</v>
      </c>
      <c r="B308" s="78" t="s">
        <v>682</v>
      </c>
      <c r="C308" s="78" t="s">
        <v>681</v>
      </c>
      <c r="D308" s="79" t="s">
        <v>7</v>
      </c>
      <c r="E308" s="80">
        <v>1</v>
      </c>
    </row>
    <row r="309" spans="1:5">
      <c r="A309" s="75" t="s">
        <v>514</v>
      </c>
      <c r="B309" s="78" t="s">
        <v>683</v>
      </c>
      <c r="C309" s="78" t="s">
        <v>681</v>
      </c>
      <c r="D309" s="79" t="s">
        <v>7</v>
      </c>
      <c r="E309" s="80">
        <v>1</v>
      </c>
    </row>
    <row r="310" spans="1:5">
      <c r="A310" s="75" t="s">
        <v>514</v>
      </c>
      <c r="B310" s="78" t="s">
        <v>684</v>
      </c>
      <c r="C310" s="78" t="s">
        <v>681</v>
      </c>
      <c r="D310" s="79" t="s">
        <v>7</v>
      </c>
      <c r="E310" s="80">
        <v>1</v>
      </c>
    </row>
    <row r="311" spans="1:5">
      <c r="A311" s="75" t="s">
        <v>514</v>
      </c>
      <c r="B311" s="78" t="s">
        <v>685</v>
      </c>
      <c r="C311" s="78" t="s">
        <v>681</v>
      </c>
      <c r="D311" s="79" t="s">
        <v>7</v>
      </c>
      <c r="E311" s="80">
        <v>1</v>
      </c>
    </row>
    <row r="312" spans="1:5">
      <c r="A312" s="75" t="s">
        <v>514</v>
      </c>
      <c r="B312" s="78" t="s">
        <v>686</v>
      </c>
      <c r="C312" s="78" t="s">
        <v>681</v>
      </c>
      <c r="D312" s="79" t="s">
        <v>7</v>
      </c>
      <c r="E312" s="80">
        <v>1</v>
      </c>
    </row>
    <row r="313" spans="1:5">
      <c r="A313" s="75" t="s">
        <v>514</v>
      </c>
      <c r="B313" s="78" t="s">
        <v>687</v>
      </c>
      <c r="C313" s="78" t="s">
        <v>681</v>
      </c>
      <c r="D313" s="79" t="s">
        <v>7</v>
      </c>
      <c r="E313" s="80">
        <v>1</v>
      </c>
    </row>
    <row r="314" spans="1:5">
      <c r="A314" s="75" t="s">
        <v>514</v>
      </c>
      <c r="B314" s="78" t="s">
        <v>688</v>
      </c>
      <c r="C314" s="78" t="s">
        <v>681</v>
      </c>
      <c r="D314" s="79" t="s">
        <v>7</v>
      </c>
      <c r="E314" s="80">
        <v>1</v>
      </c>
    </row>
    <row r="315" spans="1:5">
      <c r="A315" s="75" t="s">
        <v>514</v>
      </c>
      <c r="B315" s="78" t="s">
        <v>689</v>
      </c>
      <c r="C315" s="78" t="s">
        <v>690</v>
      </c>
      <c r="D315" s="79" t="s">
        <v>7</v>
      </c>
      <c r="E315" s="80">
        <v>1</v>
      </c>
    </row>
    <row r="316" spans="1:5">
      <c r="A316" s="75" t="s">
        <v>514</v>
      </c>
      <c r="B316" s="78" t="s">
        <v>691</v>
      </c>
      <c r="C316" s="78" t="s">
        <v>690</v>
      </c>
      <c r="D316" s="79" t="s">
        <v>7</v>
      </c>
      <c r="E316" s="80">
        <v>1</v>
      </c>
    </row>
    <row r="317" spans="1:5">
      <c r="A317" s="75" t="s">
        <v>514</v>
      </c>
      <c r="B317" s="78" t="s">
        <v>692</v>
      </c>
      <c r="C317" s="78" t="s">
        <v>690</v>
      </c>
      <c r="D317" s="79" t="s">
        <v>7</v>
      </c>
      <c r="E317" s="80">
        <v>1</v>
      </c>
    </row>
    <row r="318" spans="1:5">
      <c r="A318" s="75" t="s">
        <v>514</v>
      </c>
      <c r="B318" s="78" t="s">
        <v>693</v>
      </c>
      <c r="C318" s="78" t="s">
        <v>690</v>
      </c>
      <c r="D318" s="79" t="s">
        <v>7</v>
      </c>
      <c r="E318" s="80">
        <v>1</v>
      </c>
    </row>
    <row r="319" spans="1:5">
      <c r="A319" s="75" t="s">
        <v>514</v>
      </c>
      <c r="B319" s="78" t="s">
        <v>694</v>
      </c>
      <c r="C319" s="78" t="s">
        <v>690</v>
      </c>
      <c r="D319" s="79" t="s">
        <v>7</v>
      </c>
      <c r="E319" s="80">
        <v>1</v>
      </c>
    </row>
    <row r="320" spans="1:5">
      <c r="A320" s="75" t="s">
        <v>514</v>
      </c>
      <c r="B320" s="78" t="s">
        <v>695</v>
      </c>
      <c r="C320" s="78" t="s">
        <v>690</v>
      </c>
      <c r="D320" s="79" t="s">
        <v>7</v>
      </c>
      <c r="E320" s="80">
        <v>1</v>
      </c>
    </row>
    <row r="321" spans="1:5">
      <c r="A321" s="75" t="s">
        <v>514</v>
      </c>
      <c r="B321" s="78" t="s">
        <v>696</v>
      </c>
      <c r="C321" s="78" t="s">
        <v>690</v>
      </c>
      <c r="D321" s="79" t="s">
        <v>7</v>
      </c>
      <c r="E321" s="80">
        <v>1</v>
      </c>
    </row>
    <row r="322" spans="1:5">
      <c r="A322" s="75" t="s">
        <v>514</v>
      </c>
      <c r="B322" s="78">
        <v>20051851</v>
      </c>
      <c r="C322" s="78" t="s">
        <v>328</v>
      </c>
      <c r="D322" s="79" t="s">
        <v>7</v>
      </c>
      <c r="E322" s="80">
        <v>1</v>
      </c>
    </row>
    <row r="323" spans="1:5">
      <c r="A323" s="75" t="s">
        <v>514</v>
      </c>
      <c r="B323" s="78">
        <v>20051852</v>
      </c>
      <c r="C323" s="78" t="s">
        <v>328</v>
      </c>
      <c r="D323" s="79" t="s">
        <v>7</v>
      </c>
      <c r="E323" s="80">
        <v>1</v>
      </c>
    </row>
    <row r="324" spans="1:5">
      <c r="A324" s="75" t="s">
        <v>514</v>
      </c>
      <c r="B324" s="78">
        <v>20051853</v>
      </c>
      <c r="C324" s="78" t="s">
        <v>328</v>
      </c>
      <c r="D324" s="79" t="s">
        <v>7</v>
      </c>
      <c r="E324" s="80">
        <v>1</v>
      </c>
    </row>
    <row r="325" spans="1:5">
      <c r="A325" s="75" t="s">
        <v>514</v>
      </c>
      <c r="B325" s="78">
        <v>20051854</v>
      </c>
      <c r="C325" s="78" t="s">
        <v>328</v>
      </c>
      <c r="D325" s="79" t="s">
        <v>7</v>
      </c>
      <c r="E325" s="80">
        <v>1</v>
      </c>
    </row>
    <row r="326" spans="1:5">
      <c r="A326" s="75" t="s">
        <v>514</v>
      </c>
      <c r="B326" s="78">
        <v>20051855</v>
      </c>
      <c r="C326" s="78" t="s">
        <v>328</v>
      </c>
      <c r="D326" s="79" t="s">
        <v>7</v>
      </c>
      <c r="E326" s="80">
        <v>1</v>
      </c>
    </row>
    <row r="327" spans="1:5">
      <c r="A327" s="75" t="s">
        <v>514</v>
      </c>
      <c r="B327" s="78">
        <v>20051856</v>
      </c>
      <c r="C327" s="78" t="s">
        <v>328</v>
      </c>
      <c r="D327" s="79" t="s">
        <v>7</v>
      </c>
      <c r="E327" s="80">
        <v>1</v>
      </c>
    </row>
    <row r="328" spans="1:5">
      <c r="A328" s="75" t="s">
        <v>514</v>
      </c>
      <c r="B328" s="78">
        <v>20051857</v>
      </c>
      <c r="C328" s="78" t="s">
        <v>328</v>
      </c>
      <c r="D328" s="79" t="s">
        <v>7</v>
      </c>
      <c r="E328" s="80">
        <v>1</v>
      </c>
    </row>
    <row r="329" spans="1:5">
      <c r="A329" s="75" t="s">
        <v>514</v>
      </c>
      <c r="B329" s="78">
        <v>20051858</v>
      </c>
      <c r="C329" s="78" t="s">
        <v>328</v>
      </c>
      <c r="D329" s="79" t="s">
        <v>7</v>
      </c>
      <c r="E329" s="80">
        <v>1</v>
      </c>
    </row>
    <row r="330" spans="1:5">
      <c r="A330" s="75" t="s">
        <v>514</v>
      </c>
      <c r="B330" s="78">
        <v>20051859</v>
      </c>
      <c r="C330" s="78" t="s">
        <v>328</v>
      </c>
      <c r="D330" s="79" t="s">
        <v>7</v>
      </c>
      <c r="E330" s="80">
        <v>1</v>
      </c>
    </row>
    <row r="331" spans="1:5">
      <c r="A331" s="75" t="s">
        <v>514</v>
      </c>
      <c r="B331" s="78">
        <v>20051860</v>
      </c>
      <c r="C331" s="78" t="s">
        <v>328</v>
      </c>
      <c r="D331" s="79" t="s">
        <v>7</v>
      </c>
      <c r="E331" s="80">
        <v>1</v>
      </c>
    </row>
    <row r="332" spans="1:5">
      <c r="A332" s="75" t="s">
        <v>514</v>
      </c>
      <c r="B332" s="78">
        <v>20051862</v>
      </c>
      <c r="C332" s="78" t="s">
        <v>328</v>
      </c>
      <c r="D332" s="79" t="s">
        <v>7</v>
      </c>
      <c r="E332" s="80">
        <v>1</v>
      </c>
    </row>
    <row r="333" spans="1:5">
      <c r="A333" s="75" t="s">
        <v>514</v>
      </c>
      <c r="B333" s="78">
        <v>20051864</v>
      </c>
      <c r="C333" s="78" t="s">
        <v>328</v>
      </c>
      <c r="D333" s="79" t="s">
        <v>7</v>
      </c>
      <c r="E333" s="80">
        <v>1</v>
      </c>
    </row>
    <row r="334" spans="1:5">
      <c r="A334" s="75" t="s">
        <v>514</v>
      </c>
      <c r="B334" s="78">
        <v>20051865</v>
      </c>
      <c r="C334" s="78" t="s">
        <v>328</v>
      </c>
      <c r="D334" s="79" t="s">
        <v>7</v>
      </c>
      <c r="E334" s="80">
        <v>1</v>
      </c>
    </row>
    <row r="335" spans="1:5">
      <c r="A335" s="75" t="s">
        <v>514</v>
      </c>
      <c r="B335" s="78">
        <v>20051866</v>
      </c>
      <c r="C335" s="78" t="s">
        <v>328</v>
      </c>
      <c r="D335" s="79" t="s">
        <v>7</v>
      </c>
      <c r="E335" s="80">
        <v>1</v>
      </c>
    </row>
    <row r="336" spans="1:5">
      <c r="A336" s="75" t="s">
        <v>514</v>
      </c>
      <c r="B336" s="78">
        <v>20051867</v>
      </c>
      <c r="C336" s="78" t="s">
        <v>328</v>
      </c>
      <c r="D336" s="79" t="s">
        <v>7</v>
      </c>
      <c r="E336" s="80">
        <v>1</v>
      </c>
    </row>
    <row r="337" spans="1:5">
      <c r="A337" s="75" t="s">
        <v>514</v>
      </c>
      <c r="B337" s="78">
        <v>20051868</v>
      </c>
      <c r="C337" s="78" t="s">
        <v>328</v>
      </c>
      <c r="D337" s="79" t="s">
        <v>7</v>
      </c>
      <c r="E337" s="80">
        <v>1</v>
      </c>
    </row>
    <row r="338" spans="1:5">
      <c r="A338" s="75" t="s">
        <v>514</v>
      </c>
      <c r="B338" s="78">
        <v>20051869</v>
      </c>
      <c r="C338" s="78" t="s">
        <v>328</v>
      </c>
      <c r="D338" s="79" t="s">
        <v>7</v>
      </c>
      <c r="E338" s="80">
        <v>1</v>
      </c>
    </row>
    <row r="339" spans="1:5">
      <c r="A339" s="75" t="s">
        <v>514</v>
      </c>
      <c r="B339" s="78">
        <v>20051870</v>
      </c>
      <c r="C339" s="78" t="s">
        <v>328</v>
      </c>
      <c r="D339" s="79" t="s">
        <v>7</v>
      </c>
      <c r="E339" s="80">
        <v>1</v>
      </c>
    </row>
    <row r="340" spans="1:5">
      <c r="A340" s="75" t="s">
        <v>514</v>
      </c>
      <c r="B340" s="78">
        <v>20060018</v>
      </c>
      <c r="C340" s="78" t="s">
        <v>697</v>
      </c>
      <c r="D340" s="79" t="s">
        <v>7</v>
      </c>
      <c r="E340" s="80">
        <v>1</v>
      </c>
    </row>
    <row r="341" spans="1:5">
      <c r="A341" s="75" t="s">
        <v>514</v>
      </c>
      <c r="B341" s="78">
        <v>20130115</v>
      </c>
      <c r="C341" s="78" t="s">
        <v>697</v>
      </c>
      <c r="D341" s="79" t="s">
        <v>7</v>
      </c>
      <c r="E341" s="80">
        <v>1</v>
      </c>
    </row>
    <row r="342" spans="1:5">
      <c r="A342" s="75" t="s">
        <v>514</v>
      </c>
      <c r="B342" s="78">
        <v>20130116</v>
      </c>
      <c r="C342" s="78" t="s">
        <v>697</v>
      </c>
      <c r="D342" s="79" t="s">
        <v>7</v>
      </c>
      <c r="E342" s="80">
        <v>1</v>
      </c>
    </row>
    <row r="343" spans="1:5">
      <c r="A343" s="75" t="s">
        <v>514</v>
      </c>
      <c r="B343" s="78">
        <v>20130117</v>
      </c>
      <c r="C343" s="78" t="s">
        <v>697</v>
      </c>
      <c r="D343" s="79" t="s">
        <v>7</v>
      </c>
      <c r="E343" s="80">
        <v>1</v>
      </c>
    </row>
    <row r="344" spans="1:5">
      <c r="A344" s="75" t="s">
        <v>514</v>
      </c>
      <c r="B344" s="78">
        <v>20130118</v>
      </c>
      <c r="C344" s="78" t="s">
        <v>697</v>
      </c>
      <c r="D344" s="79" t="s">
        <v>7</v>
      </c>
      <c r="E344" s="80">
        <v>1</v>
      </c>
    </row>
    <row r="345" spans="1:5">
      <c r="A345" s="75" t="s">
        <v>514</v>
      </c>
      <c r="B345" s="78">
        <v>20181237</v>
      </c>
      <c r="C345" s="78" t="s">
        <v>698</v>
      </c>
      <c r="D345" s="79" t="s">
        <v>7</v>
      </c>
      <c r="E345" s="80">
        <v>1</v>
      </c>
    </row>
    <row r="346" spans="1:5">
      <c r="A346" s="75" t="s">
        <v>514</v>
      </c>
      <c r="B346" s="78">
        <v>20181238</v>
      </c>
      <c r="C346" s="78" t="s">
        <v>698</v>
      </c>
      <c r="D346" s="79" t="s">
        <v>7</v>
      </c>
      <c r="E346" s="80">
        <v>1</v>
      </c>
    </row>
    <row r="347" spans="1:5">
      <c r="A347" s="75" t="s">
        <v>514</v>
      </c>
      <c r="B347" s="78">
        <v>20181239</v>
      </c>
      <c r="C347" s="78" t="s">
        <v>698</v>
      </c>
      <c r="D347" s="79" t="s">
        <v>7</v>
      </c>
      <c r="E347" s="80">
        <v>1</v>
      </c>
    </row>
    <row r="348" spans="1:5">
      <c r="A348" s="75" t="s">
        <v>514</v>
      </c>
      <c r="B348" s="78">
        <v>20181240</v>
      </c>
      <c r="C348" s="78" t="s">
        <v>698</v>
      </c>
      <c r="D348" s="79" t="s">
        <v>7</v>
      </c>
      <c r="E348" s="80">
        <v>1</v>
      </c>
    </row>
    <row r="349" spans="1:5">
      <c r="A349" s="75" t="s">
        <v>514</v>
      </c>
      <c r="B349" s="78">
        <v>20211498</v>
      </c>
      <c r="C349" s="78" t="s">
        <v>699</v>
      </c>
      <c r="D349" s="79" t="s">
        <v>7</v>
      </c>
      <c r="E349" s="80">
        <v>1</v>
      </c>
    </row>
    <row r="350" spans="1:5">
      <c r="A350" s="75" t="s">
        <v>514</v>
      </c>
      <c r="B350" s="78">
        <v>20181062</v>
      </c>
      <c r="C350" s="78" t="s">
        <v>699</v>
      </c>
      <c r="D350" s="79" t="s">
        <v>7</v>
      </c>
      <c r="E350" s="80">
        <v>1</v>
      </c>
    </row>
    <row r="351" spans="1:5">
      <c r="A351" s="75" t="s">
        <v>514</v>
      </c>
      <c r="B351" s="78">
        <v>20230560</v>
      </c>
      <c r="C351" s="78" t="s">
        <v>700</v>
      </c>
      <c r="D351" s="79" t="s">
        <v>7</v>
      </c>
      <c r="E351" s="80">
        <v>1</v>
      </c>
    </row>
    <row r="352" spans="1:5">
      <c r="A352" s="75" t="s">
        <v>514</v>
      </c>
      <c r="B352" s="78">
        <v>20230561</v>
      </c>
      <c r="C352" s="78" t="s">
        <v>700</v>
      </c>
      <c r="D352" s="79" t="s">
        <v>7</v>
      </c>
      <c r="E352" s="80">
        <v>1</v>
      </c>
    </row>
    <row r="353" spans="1:5">
      <c r="A353" s="75" t="s">
        <v>514</v>
      </c>
      <c r="B353" s="78">
        <v>20230562</v>
      </c>
      <c r="C353" s="78" t="s">
        <v>700</v>
      </c>
      <c r="D353" s="79" t="s">
        <v>7</v>
      </c>
      <c r="E353" s="80">
        <v>1</v>
      </c>
    </row>
    <row r="354" spans="1:5">
      <c r="A354" s="75" t="s">
        <v>514</v>
      </c>
      <c r="B354" s="78">
        <v>20230563</v>
      </c>
      <c r="C354" s="78" t="s">
        <v>700</v>
      </c>
      <c r="D354" s="79" t="s">
        <v>7</v>
      </c>
      <c r="E354" s="80">
        <v>1</v>
      </c>
    </row>
    <row r="355" spans="1:5">
      <c r="A355" s="75" t="s">
        <v>514</v>
      </c>
      <c r="B355" s="78">
        <v>20230564</v>
      </c>
      <c r="C355" s="78" t="s">
        <v>700</v>
      </c>
      <c r="D355" s="79" t="s">
        <v>7</v>
      </c>
      <c r="E355" s="80">
        <v>1</v>
      </c>
    </row>
    <row r="356" spans="1:5">
      <c r="A356" s="75" t="s">
        <v>514</v>
      </c>
      <c r="B356" s="78">
        <v>20230587</v>
      </c>
      <c r="C356" s="78" t="s">
        <v>700</v>
      </c>
      <c r="D356" s="79" t="s">
        <v>7</v>
      </c>
      <c r="E356" s="80">
        <v>1</v>
      </c>
    </row>
    <row r="357" spans="1:5">
      <c r="A357" s="75" t="s">
        <v>514</v>
      </c>
      <c r="B357" s="78">
        <v>20230588</v>
      </c>
      <c r="C357" s="78" t="s">
        <v>700</v>
      </c>
      <c r="D357" s="79" t="s">
        <v>7</v>
      </c>
      <c r="E357" s="80">
        <v>1</v>
      </c>
    </row>
    <row r="358" spans="1:5">
      <c r="A358" s="75" t="s">
        <v>514</v>
      </c>
      <c r="B358" s="78">
        <v>20230589</v>
      </c>
      <c r="C358" s="78" t="s">
        <v>700</v>
      </c>
      <c r="D358" s="79" t="s">
        <v>7</v>
      </c>
      <c r="E358" s="80">
        <v>1</v>
      </c>
    </row>
    <row r="359" spans="1:5">
      <c r="A359" s="75" t="s">
        <v>514</v>
      </c>
      <c r="B359" s="78">
        <v>20230590</v>
      </c>
      <c r="C359" s="78" t="s">
        <v>700</v>
      </c>
      <c r="D359" s="79" t="s">
        <v>7</v>
      </c>
      <c r="E359" s="80">
        <v>1</v>
      </c>
    </row>
    <row r="360" spans="1:5">
      <c r="A360" s="75" t="s">
        <v>514</v>
      </c>
      <c r="B360" s="78">
        <v>20230591</v>
      </c>
      <c r="C360" s="78" t="s">
        <v>700</v>
      </c>
      <c r="D360" s="79" t="s">
        <v>7</v>
      </c>
      <c r="E360" s="80">
        <v>1</v>
      </c>
    </row>
    <row r="361" spans="1:5">
      <c r="A361" s="75" t="s">
        <v>514</v>
      </c>
      <c r="B361" s="78">
        <v>20180803</v>
      </c>
      <c r="C361" s="78" t="s">
        <v>701</v>
      </c>
      <c r="D361" s="79" t="s">
        <v>7</v>
      </c>
      <c r="E361" s="80">
        <v>1</v>
      </c>
    </row>
    <row r="362" spans="1:5">
      <c r="A362" s="75" t="s">
        <v>514</v>
      </c>
      <c r="B362" s="78">
        <v>20180804</v>
      </c>
      <c r="C362" s="78" t="s">
        <v>701</v>
      </c>
      <c r="D362" s="79" t="s">
        <v>7</v>
      </c>
      <c r="E362" s="80">
        <v>1</v>
      </c>
    </row>
    <row r="363" spans="1:5">
      <c r="A363" s="75" t="s">
        <v>514</v>
      </c>
      <c r="B363" s="78">
        <v>20230253</v>
      </c>
      <c r="C363" s="78" t="s">
        <v>702</v>
      </c>
      <c r="D363" s="79" t="s">
        <v>7</v>
      </c>
      <c r="E363" s="80">
        <v>1</v>
      </c>
    </row>
    <row r="364" spans="1:5">
      <c r="A364" s="75" t="s">
        <v>514</v>
      </c>
      <c r="B364" s="78">
        <v>20230254</v>
      </c>
      <c r="C364" s="78" t="s">
        <v>702</v>
      </c>
      <c r="D364" s="79" t="s">
        <v>7</v>
      </c>
      <c r="E364" s="80">
        <v>1</v>
      </c>
    </row>
    <row r="365" spans="1:5">
      <c r="A365" s="75" t="s">
        <v>514</v>
      </c>
      <c r="B365" s="78">
        <v>20230255</v>
      </c>
      <c r="C365" s="78" t="s">
        <v>702</v>
      </c>
      <c r="D365" s="79" t="s">
        <v>7</v>
      </c>
      <c r="E365" s="80">
        <v>1</v>
      </c>
    </row>
    <row r="366" spans="1:5">
      <c r="A366" s="75" t="s">
        <v>514</v>
      </c>
      <c r="B366" s="78">
        <v>20230256</v>
      </c>
      <c r="C366" s="78" t="s">
        <v>702</v>
      </c>
      <c r="D366" s="79" t="s">
        <v>7</v>
      </c>
      <c r="E366" s="80">
        <v>1</v>
      </c>
    </row>
    <row r="367" spans="1:5">
      <c r="A367" s="75" t="s">
        <v>514</v>
      </c>
      <c r="B367" s="78">
        <v>20230257</v>
      </c>
      <c r="C367" s="78" t="s">
        <v>702</v>
      </c>
      <c r="D367" s="79" t="s">
        <v>7</v>
      </c>
      <c r="E367" s="80">
        <v>1</v>
      </c>
    </row>
    <row r="368" spans="1:5">
      <c r="A368" s="75" t="s">
        <v>514</v>
      </c>
      <c r="B368" s="78">
        <v>20230258</v>
      </c>
      <c r="C368" s="78" t="s">
        <v>702</v>
      </c>
      <c r="D368" s="79" t="s">
        <v>7</v>
      </c>
      <c r="E368" s="80">
        <v>1</v>
      </c>
    </row>
    <row r="369" spans="1:5">
      <c r="A369" s="75" t="s">
        <v>514</v>
      </c>
      <c r="B369" s="78">
        <v>20230259</v>
      </c>
      <c r="C369" s="78" t="s">
        <v>702</v>
      </c>
      <c r="D369" s="79" t="s">
        <v>7</v>
      </c>
      <c r="E369" s="80">
        <v>1</v>
      </c>
    </row>
    <row r="370" spans="1:5">
      <c r="A370" s="75" t="s">
        <v>514</v>
      </c>
      <c r="B370" s="78">
        <v>20230260</v>
      </c>
      <c r="C370" s="78" t="s">
        <v>702</v>
      </c>
      <c r="D370" s="79" t="s">
        <v>7</v>
      </c>
      <c r="E370" s="80">
        <v>1</v>
      </c>
    </row>
    <row r="371" spans="1:5">
      <c r="A371" s="75" t="s">
        <v>514</v>
      </c>
      <c r="B371" s="78">
        <v>20230261</v>
      </c>
      <c r="C371" s="78" t="s">
        <v>702</v>
      </c>
      <c r="D371" s="79" t="s">
        <v>7</v>
      </c>
      <c r="E371" s="80">
        <v>1</v>
      </c>
    </row>
    <row r="372" spans="1:5">
      <c r="A372" s="75" t="s">
        <v>514</v>
      </c>
      <c r="B372" s="78">
        <v>20230262</v>
      </c>
      <c r="C372" s="78" t="s">
        <v>702</v>
      </c>
      <c r="D372" s="79" t="s">
        <v>7</v>
      </c>
      <c r="E372" s="80">
        <v>1</v>
      </c>
    </row>
    <row r="373" spans="1:5">
      <c r="A373" s="75" t="s">
        <v>514</v>
      </c>
      <c r="B373" s="78">
        <v>20230263</v>
      </c>
      <c r="C373" s="78" t="s">
        <v>702</v>
      </c>
      <c r="D373" s="79" t="s">
        <v>7</v>
      </c>
      <c r="E373" s="80">
        <v>1</v>
      </c>
    </row>
    <row r="374" spans="1:5">
      <c r="A374" s="75" t="s">
        <v>514</v>
      </c>
      <c r="B374" s="78">
        <v>20230264</v>
      </c>
      <c r="C374" s="78" t="s">
        <v>702</v>
      </c>
      <c r="D374" s="79" t="s">
        <v>7</v>
      </c>
      <c r="E374" s="80">
        <v>1</v>
      </c>
    </row>
    <row r="375" spans="1:5">
      <c r="A375" s="75" t="s">
        <v>514</v>
      </c>
      <c r="B375" s="78">
        <v>20230265</v>
      </c>
      <c r="C375" s="78" t="s">
        <v>702</v>
      </c>
      <c r="D375" s="79" t="s">
        <v>7</v>
      </c>
      <c r="E375" s="80">
        <v>1</v>
      </c>
    </row>
    <row r="376" spans="1:5">
      <c r="A376" s="75" t="s">
        <v>514</v>
      </c>
      <c r="B376" s="78">
        <v>20230266</v>
      </c>
      <c r="C376" s="78" t="s">
        <v>702</v>
      </c>
      <c r="D376" s="79" t="s">
        <v>7</v>
      </c>
      <c r="E376" s="80">
        <v>1</v>
      </c>
    </row>
    <row r="377" spans="1:5">
      <c r="A377" s="75" t="s">
        <v>514</v>
      </c>
      <c r="B377" s="78">
        <v>20230267</v>
      </c>
      <c r="C377" s="78" t="s">
        <v>702</v>
      </c>
      <c r="D377" s="79" t="s">
        <v>7</v>
      </c>
      <c r="E377" s="80">
        <v>1</v>
      </c>
    </row>
    <row r="378" spans="1:5">
      <c r="A378" s="75" t="s">
        <v>514</v>
      </c>
      <c r="B378" s="78">
        <v>20230268</v>
      </c>
      <c r="C378" s="78" t="s">
        <v>702</v>
      </c>
      <c r="D378" s="79" t="s">
        <v>7</v>
      </c>
      <c r="E378" s="80">
        <v>1</v>
      </c>
    </row>
    <row r="379" spans="1:5">
      <c r="A379" s="75" t="s">
        <v>514</v>
      </c>
      <c r="B379" s="78">
        <v>20230269</v>
      </c>
      <c r="C379" s="78" t="s">
        <v>702</v>
      </c>
      <c r="D379" s="79" t="s">
        <v>7</v>
      </c>
      <c r="E379" s="80">
        <v>1</v>
      </c>
    </row>
    <row r="380" spans="1:5">
      <c r="A380" s="75" t="s">
        <v>514</v>
      </c>
      <c r="B380" s="78">
        <v>20230270</v>
      </c>
      <c r="C380" s="78" t="s">
        <v>702</v>
      </c>
      <c r="D380" s="79" t="s">
        <v>7</v>
      </c>
      <c r="E380" s="80">
        <v>1</v>
      </c>
    </row>
    <row r="381" spans="1:5">
      <c r="A381" s="75" t="s">
        <v>514</v>
      </c>
      <c r="B381" s="78">
        <v>20230272</v>
      </c>
      <c r="C381" s="78" t="s">
        <v>377</v>
      </c>
      <c r="D381" s="79" t="s">
        <v>7</v>
      </c>
      <c r="E381" s="80">
        <v>1</v>
      </c>
    </row>
    <row r="382" spans="1:5">
      <c r="A382" s="75" t="s">
        <v>514</v>
      </c>
      <c r="B382" s="78">
        <v>20230273</v>
      </c>
      <c r="C382" s="78" t="s">
        <v>377</v>
      </c>
      <c r="D382" s="79" t="s">
        <v>7</v>
      </c>
      <c r="E382" s="80">
        <v>1</v>
      </c>
    </row>
    <row r="383" spans="1:5">
      <c r="A383" s="75" t="s">
        <v>514</v>
      </c>
      <c r="B383" s="78">
        <v>20230274</v>
      </c>
      <c r="C383" s="78" t="s">
        <v>377</v>
      </c>
      <c r="D383" s="79" t="s">
        <v>7</v>
      </c>
      <c r="E383" s="80">
        <v>1</v>
      </c>
    </row>
    <row r="384" spans="1:5">
      <c r="A384" s="75" t="s">
        <v>514</v>
      </c>
      <c r="B384" s="78">
        <v>20230275</v>
      </c>
      <c r="C384" s="78" t="s">
        <v>377</v>
      </c>
      <c r="D384" s="79" t="s">
        <v>7</v>
      </c>
      <c r="E384" s="80">
        <v>1</v>
      </c>
    </row>
    <row r="385" spans="1:5">
      <c r="A385" s="75" t="s">
        <v>514</v>
      </c>
      <c r="B385" s="78">
        <v>20230276</v>
      </c>
      <c r="C385" s="78" t="s">
        <v>377</v>
      </c>
      <c r="D385" s="79" t="s">
        <v>7</v>
      </c>
      <c r="E385" s="80">
        <v>1</v>
      </c>
    </row>
    <row r="386" spans="1:5">
      <c r="A386" s="75" t="s">
        <v>514</v>
      </c>
      <c r="B386" s="78">
        <v>20230277</v>
      </c>
      <c r="C386" s="78" t="s">
        <v>377</v>
      </c>
      <c r="D386" s="79" t="s">
        <v>7</v>
      </c>
      <c r="E386" s="80">
        <v>1</v>
      </c>
    </row>
    <row r="387" spans="1:5">
      <c r="A387" s="75" t="s">
        <v>514</v>
      </c>
      <c r="B387" s="78">
        <v>20230278</v>
      </c>
      <c r="C387" s="78" t="s">
        <v>377</v>
      </c>
      <c r="D387" s="79" t="s">
        <v>7</v>
      </c>
      <c r="E387" s="80">
        <v>1</v>
      </c>
    </row>
    <row r="388" spans="1:5">
      <c r="A388" s="75" t="s">
        <v>514</v>
      </c>
      <c r="B388" s="78">
        <v>20230279</v>
      </c>
      <c r="C388" s="78" t="s">
        <v>377</v>
      </c>
      <c r="D388" s="79" t="s">
        <v>7</v>
      </c>
      <c r="E388" s="80">
        <v>1</v>
      </c>
    </row>
    <row r="389" spans="1:5">
      <c r="A389" s="75" t="s">
        <v>514</v>
      </c>
      <c r="B389" s="78">
        <v>20230280</v>
      </c>
      <c r="C389" s="78" t="s">
        <v>377</v>
      </c>
      <c r="D389" s="79" t="s">
        <v>7</v>
      </c>
      <c r="E389" s="80">
        <v>1</v>
      </c>
    </row>
    <row r="390" spans="1:5">
      <c r="A390" s="75" t="s">
        <v>514</v>
      </c>
      <c r="B390" s="78">
        <v>20230281</v>
      </c>
      <c r="C390" s="78" t="s">
        <v>377</v>
      </c>
      <c r="D390" s="79" t="s">
        <v>7</v>
      </c>
      <c r="E390" s="80">
        <v>1</v>
      </c>
    </row>
    <row r="391" spans="1:5">
      <c r="A391" s="75" t="s">
        <v>514</v>
      </c>
      <c r="B391" s="78">
        <v>20230282</v>
      </c>
      <c r="C391" s="78" t="s">
        <v>377</v>
      </c>
      <c r="D391" s="79" t="s">
        <v>7</v>
      </c>
      <c r="E391" s="80">
        <v>1</v>
      </c>
    </row>
    <row r="392" spans="1:5">
      <c r="A392" s="75" t="s">
        <v>514</v>
      </c>
      <c r="B392" s="78">
        <v>20230283</v>
      </c>
      <c r="C392" s="78" t="s">
        <v>377</v>
      </c>
      <c r="D392" s="79" t="s">
        <v>7</v>
      </c>
      <c r="E392" s="80">
        <v>1</v>
      </c>
    </row>
    <row r="393" spans="1:5">
      <c r="A393" s="75" t="s">
        <v>514</v>
      </c>
      <c r="B393" s="78">
        <v>20230284</v>
      </c>
      <c r="C393" s="78" t="s">
        <v>377</v>
      </c>
      <c r="D393" s="79" t="s">
        <v>7</v>
      </c>
      <c r="E393" s="80">
        <v>1</v>
      </c>
    </row>
    <row r="394" spans="1:5">
      <c r="A394" s="75" t="s">
        <v>514</v>
      </c>
      <c r="B394" s="78">
        <v>20230285</v>
      </c>
      <c r="C394" s="78" t="s">
        <v>377</v>
      </c>
      <c r="D394" s="79" t="s">
        <v>7</v>
      </c>
      <c r="E394" s="80">
        <v>1</v>
      </c>
    </row>
    <row r="395" spans="1:5">
      <c r="A395" s="75" t="s">
        <v>514</v>
      </c>
      <c r="B395" s="78">
        <v>20230286</v>
      </c>
      <c r="C395" s="78" t="s">
        <v>377</v>
      </c>
      <c r="D395" s="79" t="s">
        <v>7</v>
      </c>
      <c r="E395" s="80">
        <v>1</v>
      </c>
    </row>
    <row r="396" spans="1:5">
      <c r="A396" s="75" t="s">
        <v>514</v>
      </c>
      <c r="B396" s="78">
        <v>20230287</v>
      </c>
      <c r="C396" s="78" t="s">
        <v>377</v>
      </c>
      <c r="D396" s="79" t="s">
        <v>7</v>
      </c>
      <c r="E396" s="80">
        <v>1</v>
      </c>
    </row>
    <row r="397" spans="1:5">
      <c r="A397" s="75" t="s">
        <v>514</v>
      </c>
      <c r="B397" s="78">
        <v>20230288</v>
      </c>
      <c r="C397" s="78" t="s">
        <v>377</v>
      </c>
      <c r="D397" s="79" t="s">
        <v>7</v>
      </c>
      <c r="E397" s="80">
        <v>1</v>
      </c>
    </row>
    <row r="398" spans="1:5">
      <c r="A398" s="75" t="s">
        <v>514</v>
      </c>
      <c r="B398" s="78">
        <v>20230289</v>
      </c>
      <c r="C398" s="78" t="s">
        <v>377</v>
      </c>
      <c r="D398" s="79" t="s">
        <v>7</v>
      </c>
      <c r="E398" s="80">
        <v>1</v>
      </c>
    </row>
    <row r="399" s="75" customFormat="1" spans="1:5">
      <c r="A399" s="75" t="s">
        <v>514</v>
      </c>
      <c r="B399" s="78">
        <v>20110159</v>
      </c>
      <c r="C399" s="78" t="s">
        <v>529</v>
      </c>
      <c r="D399" s="77" t="s">
        <v>7</v>
      </c>
      <c r="E399" s="80">
        <v>1</v>
      </c>
    </row>
    <row r="400" s="75" customFormat="1" spans="1:5">
      <c r="A400" s="75" t="s">
        <v>514</v>
      </c>
      <c r="B400" s="78">
        <v>20110160</v>
      </c>
      <c r="C400" s="78" t="s">
        <v>529</v>
      </c>
      <c r="D400" s="77" t="s">
        <v>7</v>
      </c>
      <c r="E400" s="80">
        <v>1</v>
      </c>
    </row>
    <row r="401" s="75" customFormat="1" spans="1:5">
      <c r="A401" s="75" t="s">
        <v>514</v>
      </c>
      <c r="B401" s="78">
        <v>20120914</v>
      </c>
      <c r="C401" s="78" t="s">
        <v>703</v>
      </c>
      <c r="D401" s="77" t="s">
        <v>7</v>
      </c>
      <c r="E401" s="80">
        <v>1</v>
      </c>
    </row>
    <row r="402" s="75" customFormat="1" spans="1:5">
      <c r="A402" s="75" t="s">
        <v>514</v>
      </c>
      <c r="B402" s="78">
        <v>20120893</v>
      </c>
      <c r="C402" s="78" t="s">
        <v>704</v>
      </c>
      <c r="D402" s="77" t="s">
        <v>7</v>
      </c>
      <c r="E402" s="80">
        <v>1</v>
      </c>
    </row>
    <row r="403" s="75" customFormat="1" spans="1:5">
      <c r="A403" s="75" t="s">
        <v>514</v>
      </c>
      <c r="B403" s="78">
        <v>20120912</v>
      </c>
      <c r="C403" s="78" t="s">
        <v>662</v>
      </c>
      <c r="D403" s="77" t="s">
        <v>7</v>
      </c>
      <c r="E403" s="80">
        <v>1</v>
      </c>
    </row>
    <row r="404" s="75" customFormat="1" spans="1:5">
      <c r="A404" s="75" t="s">
        <v>514</v>
      </c>
      <c r="B404" s="78">
        <v>20100087</v>
      </c>
      <c r="C404" s="78" t="s">
        <v>705</v>
      </c>
      <c r="D404" s="77" t="s">
        <v>7</v>
      </c>
      <c r="E404" s="80">
        <v>1</v>
      </c>
    </row>
    <row r="405" s="75" customFormat="1" spans="1:5">
      <c r="A405" s="75" t="s">
        <v>514</v>
      </c>
      <c r="B405" s="78">
        <v>20100088</v>
      </c>
      <c r="C405" s="78" t="s">
        <v>705</v>
      </c>
      <c r="D405" s="77" t="s">
        <v>7</v>
      </c>
      <c r="E405" s="80">
        <v>1</v>
      </c>
    </row>
    <row r="406" s="75" customFormat="1" spans="1:5">
      <c r="A406" s="75" t="s">
        <v>514</v>
      </c>
      <c r="B406" s="78">
        <v>20100089</v>
      </c>
      <c r="C406" s="78" t="s">
        <v>705</v>
      </c>
      <c r="D406" s="77" t="s">
        <v>7</v>
      </c>
      <c r="E406" s="80">
        <v>1</v>
      </c>
    </row>
    <row r="407" s="75" customFormat="1" spans="1:5">
      <c r="A407" s="75" t="s">
        <v>514</v>
      </c>
      <c r="B407" s="78">
        <v>20100090</v>
      </c>
      <c r="C407" s="78" t="s">
        <v>705</v>
      </c>
      <c r="D407" s="77" t="s">
        <v>7</v>
      </c>
      <c r="E407" s="80">
        <v>1</v>
      </c>
    </row>
    <row r="408" s="75" customFormat="1" spans="1:5">
      <c r="A408" s="75" t="s">
        <v>514</v>
      </c>
      <c r="B408" s="78">
        <v>20120920</v>
      </c>
      <c r="C408" s="78" t="s">
        <v>706</v>
      </c>
      <c r="D408" s="77" t="s">
        <v>7</v>
      </c>
      <c r="E408" s="80">
        <v>1</v>
      </c>
    </row>
    <row r="409" s="75" customFormat="1" spans="1:5">
      <c r="A409" s="75" t="s">
        <v>514</v>
      </c>
      <c r="B409" s="78">
        <v>20120922</v>
      </c>
      <c r="C409" s="78" t="s">
        <v>707</v>
      </c>
      <c r="D409" s="77" t="s">
        <v>7</v>
      </c>
      <c r="E409" s="80">
        <v>1</v>
      </c>
    </row>
    <row r="410" s="75" customFormat="1" spans="1:5">
      <c r="A410" s="75" t="s">
        <v>514</v>
      </c>
      <c r="B410" s="78">
        <v>20100005</v>
      </c>
      <c r="C410" s="78" t="s">
        <v>708</v>
      </c>
      <c r="D410" s="77" t="s">
        <v>7</v>
      </c>
      <c r="E410" s="80">
        <v>1</v>
      </c>
    </row>
    <row r="411" s="75" customFormat="1" spans="1:5">
      <c r="A411" s="75" t="s">
        <v>514</v>
      </c>
      <c r="B411" s="78">
        <v>20120776</v>
      </c>
      <c r="C411" s="78" t="s">
        <v>49</v>
      </c>
      <c r="D411" s="77" t="s">
        <v>7</v>
      </c>
      <c r="E411" s="80">
        <v>1</v>
      </c>
    </row>
    <row r="412" s="75" customFormat="1" spans="1:5">
      <c r="A412" s="75" t="s">
        <v>514</v>
      </c>
      <c r="B412" s="78">
        <v>20170400</v>
      </c>
      <c r="C412" s="78" t="s">
        <v>96</v>
      </c>
      <c r="D412" s="77" t="s">
        <v>7</v>
      </c>
      <c r="E412" s="80">
        <v>1</v>
      </c>
    </row>
    <row r="413" s="75" customFormat="1" spans="1:5">
      <c r="A413" s="75" t="s">
        <v>514</v>
      </c>
      <c r="B413" s="78">
        <v>20110161</v>
      </c>
      <c r="C413" s="78" t="s">
        <v>709</v>
      </c>
      <c r="D413" s="77" t="s">
        <v>7</v>
      </c>
      <c r="E413" s="80">
        <v>1</v>
      </c>
    </row>
    <row r="414" s="75" customFormat="1" spans="1:5">
      <c r="A414" s="75" t="s">
        <v>514</v>
      </c>
      <c r="B414" s="78">
        <v>20110162</v>
      </c>
      <c r="C414" s="78" t="s">
        <v>709</v>
      </c>
      <c r="D414" s="77" t="s">
        <v>7</v>
      </c>
      <c r="E414" s="80">
        <v>1</v>
      </c>
    </row>
    <row r="415" s="75" customFormat="1" spans="1:5">
      <c r="A415" s="75" t="s">
        <v>514</v>
      </c>
      <c r="B415" s="78">
        <v>20151489</v>
      </c>
      <c r="C415" s="78" t="s">
        <v>96</v>
      </c>
      <c r="D415" s="77" t="s">
        <v>7</v>
      </c>
      <c r="E415" s="80">
        <v>1</v>
      </c>
    </row>
    <row r="416" s="75" customFormat="1" spans="1:5">
      <c r="A416" s="75" t="s">
        <v>514</v>
      </c>
      <c r="B416" s="78">
        <v>20100079</v>
      </c>
      <c r="C416" s="78" t="s">
        <v>710</v>
      </c>
      <c r="D416" s="77" t="s">
        <v>7</v>
      </c>
      <c r="E416" s="80">
        <v>1</v>
      </c>
    </row>
    <row r="417" s="75" customFormat="1" spans="1:5">
      <c r="A417" s="75" t="s">
        <v>514</v>
      </c>
      <c r="B417" s="78">
        <v>20100080</v>
      </c>
      <c r="C417" s="78" t="s">
        <v>710</v>
      </c>
      <c r="D417" s="77" t="s">
        <v>7</v>
      </c>
      <c r="E417" s="80">
        <v>1</v>
      </c>
    </row>
    <row r="418" s="75" customFormat="1" spans="1:5">
      <c r="A418" s="75" t="s">
        <v>514</v>
      </c>
      <c r="B418" s="78">
        <v>20100081</v>
      </c>
      <c r="C418" s="78" t="s">
        <v>710</v>
      </c>
      <c r="D418" s="77" t="s">
        <v>7</v>
      </c>
      <c r="E418" s="80">
        <v>1</v>
      </c>
    </row>
    <row r="419" s="75" customFormat="1" spans="1:5">
      <c r="A419" s="75" t="s">
        <v>514</v>
      </c>
      <c r="B419" s="78">
        <v>20100082</v>
      </c>
      <c r="C419" s="78" t="s">
        <v>710</v>
      </c>
      <c r="D419" s="77" t="s">
        <v>7</v>
      </c>
      <c r="E419" s="80">
        <v>1</v>
      </c>
    </row>
    <row r="420" s="75" customFormat="1" spans="1:5">
      <c r="A420" s="75" t="s">
        <v>514</v>
      </c>
      <c r="B420" s="78">
        <v>20100083</v>
      </c>
      <c r="C420" s="78" t="s">
        <v>710</v>
      </c>
      <c r="D420" s="77" t="s">
        <v>7</v>
      </c>
      <c r="E420" s="80">
        <v>1</v>
      </c>
    </row>
    <row r="421" s="75" customFormat="1" spans="1:5">
      <c r="A421" s="75" t="s">
        <v>514</v>
      </c>
      <c r="B421" s="78">
        <v>20100084</v>
      </c>
      <c r="C421" s="78" t="s">
        <v>710</v>
      </c>
      <c r="D421" s="77" t="s">
        <v>7</v>
      </c>
      <c r="E421" s="80">
        <v>1</v>
      </c>
    </row>
    <row r="422" s="75" customFormat="1" spans="1:5">
      <c r="A422" s="75" t="s">
        <v>514</v>
      </c>
      <c r="B422" s="78">
        <v>20100091</v>
      </c>
      <c r="C422" s="78" t="s">
        <v>705</v>
      </c>
      <c r="D422" s="77" t="s">
        <v>7</v>
      </c>
      <c r="E422" s="80">
        <v>1</v>
      </c>
    </row>
    <row r="423" s="75" customFormat="1" spans="1:5">
      <c r="A423" s="75" t="s">
        <v>514</v>
      </c>
      <c r="B423" s="78">
        <v>20100092</v>
      </c>
      <c r="C423" s="78" t="s">
        <v>705</v>
      </c>
      <c r="D423" s="77" t="s">
        <v>7</v>
      </c>
      <c r="E423" s="80">
        <v>1</v>
      </c>
    </row>
    <row r="424" s="75" customFormat="1" spans="1:5">
      <c r="A424" s="75" t="s">
        <v>514</v>
      </c>
      <c r="B424" s="78">
        <v>20100093</v>
      </c>
      <c r="C424" s="78" t="s">
        <v>705</v>
      </c>
      <c r="D424" s="77" t="s">
        <v>7</v>
      </c>
      <c r="E424" s="80">
        <v>1</v>
      </c>
    </row>
    <row r="425" s="75" customFormat="1" spans="1:5">
      <c r="A425" s="75" t="s">
        <v>514</v>
      </c>
      <c r="B425" s="78">
        <v>20100094</v>
      </c>
      <c r="C425" s="78" t="s">
        <v>705</v>
      </c>
      <c r="D425" s="77" t="s">
        <v>7</v>
      </c>
      <c r="E425" s="80">
        <v>1</v>
      </c>
    </row>
    <row r="426" s="75" customFormat="1" spans="1:5">
      <c r="A426" s="75" t="s">
        <v>514</v>
      </c>
      <c r="B426" s="78">
        <v>20100095</v>
      </c>
      <c r="C426" s="78" t="s">
        <v>711</v>
      </c>
      <c r="D426" s="77" t="s">
        <v>7</v>
      </c>
      <c r="E426" s="80">
        <v>1</v>
      </c>
    </row>
    <row r="427" s="75" customFormat="1" spans="1:5">
      <c r="A427" s="75" t="s">
        <v>514</v>
      </c>
      <c r="B427" s="78">
        <v>20100096</v>
      </c>
      <c r="C427" s="78" t="s">
        <v>711</v>
      </c>
      <c r="D427" s="77" t="s">
        <v>7</v>
      </c>
      <c r="E427" s="80">
        <v>1</v>
      </c>
    </row>
    <row r="428" s="75" customFormat="1" spans="1:5">
      <c r="A428" s="75" t="s">
        <v>514</v>
      </c>
      <c r="B428" s="78">
        <v>20100097</v>
      </c>
      <c r="C428" s="78" t="s">
        <v>711</v>
      </c>
      <c r="D428" s="77" t="s">
        <v>7</v>
      </c>
      <c r="E428" s="80">
        <v>1</v>
      </c>
    </row>
    <row r="429" s="75" customFormat="1" spans="1:5">
      <c r="A429" s="75" t="s">
        <v>514</v>
      </c>
      <c r="B429" s="78">
        <v>20100098</v>
      </c>
      <c r="C429" s="78" t="s">
        <v>711</v>
      </c>
      <c r="D429" s="77" t="s">
        <v>7</v>
      </c>
      <c r="E429" s="80">
        <v>1</v>
      </c>
    </row>
    <row r="430" s="75" customFormat="1" spans="1:5">
      <c r="A430" s="75" t="s">
        <v>514</v>
      </c>
      <c r="B430" s="78">
        <v>20100099</v>
      </c>
      <c r="C430" s="78" t="s">
        <v>711</v>
      </c>
      <c r="D430" s="77" t="s">
        <v>7</v>
      </c>
      <c r="E430" s="80">
        <v>1</v>
      </c>
    </row>
    <row r="431" s="75" customFormat="1" spans="1:5">
      <c r="A431" s="75" t="s">
        <v>514</v>
      </c>
      <c r="B431" s="78">
        <v>20100100</v>
      </c>
      <c r="C431" s="78" t="s">
        <v>711</v>
      </c>
      <c r="D431" s="77" t="s">
        <v>7</v>
      </c>
      <c r="E431" s="80">
        <v>1</v>
      </c>
    </row>
    <row r="432" s="75" customFormat="1" spans="1:5">
      <c r="A432" s="75" t="s">
        <v>514</v>
      </c>
      <c r="B432" s="78">
        <v>20100101</v>
      </c>
      <c r="C432" s="78" t="s">
        <v>711</v>
      </c>
      <c r="D432" s="77" t="s">
        <v>7</v>
      </c>
      <c r="E432" s="80">
        <v>1</v>
      </c>
    </row>
    <row r="433" s="75" customFormat="1" spans="1:5">
      <c r="A433" s="75" t="s">
        <v>514</v>
      </c>
      <c r="B433" s="78">
        <v>20100102</v>
      </c>
      <c r="C433" s="78" t="s">
        <v>711</v>
      </c>
      <c r="D433" s="77" t="s">
        <v>7</v>
      </c>
      <c r="E433" s="80">
        <v>1</v>
      </c>
    </row>
    <row r="434" s="75" customFormat="1" spans="1:5">
      <c r="A434" s="75" t="s">
        <v>514</v>
      </c>
      <c r="B434" s="78">
        <v>20120942</v>
      </c>
      <c r="C434" s="78" t="s">
        <v>96</v>
      </c>
      <c r="D434" s="77" t="s">
        <v>7</v>
      </c>
      <c r="E434" s="80">
        <v>1</v>
      </c>
    </row>
    <row r="435" s="75" customFormat="1" spans="1:5">
      <c r="A435" s="75" t="s">
        <v>514</v>
      </c>
      <c r="B435" s="78">
        <v>20170396</v>
      </c>
      <c r="C435" s="78" t="s">
        <v>96</v>
      </c>
      <c r="D435" s="77" t="s">
        <v>7</v>
      </c>
      <c r="E435" s="80">
        <v>1</v>
      </c>
    </row>
    <row r="436" s="75" customFormat="1" spans="1:5">
      <c r="A436" s="75" t="s">
        <v>514</v>
      </c>
      <c r="B436" s="78">
        <v>20170397</v>
      </c>
      <c r="C436" s="78" t="s">
        <v>96</v>
      </c>
      <c r="D436" s="77" t="s">
        <v>7</v>
      </c>
      <c r="E436" s="80">
        <v>1</v>
      </c>
    </row>
    <row r="437" s="75" customFormat="1" spans="1:5">
      <c r="A437" s="75" t="s">
        <v>514</v>
      </c>
      <c r="B437" s="78">
        <v>20170398</v>
      </c>
      <c r="C437" s="78" t="s">
        <v>96</v>
      </c>
      <c r="D437" s="77" t="s">
        <v>7</v>
      </c>
      <c r="E437" s="80">
        <v>1</v>
      </c>
    </row>
    <row r="438" s="75" customFormat="1" spans="1:5">
      <c r="A438" s="75" t="s">
        <v>514</v>
      </c>
      <c r="B438" s="78">
        <v>20170399</v>
      </c>
      <c r="C438" s="78" t="s">
        <v>96</v>
      </c>
      <c r="D438" s="77" t="s">
        <v>7</v>
      </c>
      <c r="E438" s="80">
        <v>1</v>
      </c>
    </row>
    <row r="439" s="75" customFormat="1" spans="1:5">
      <c r="A439" s="75" t="s">
        <v>514</v>
      </c>
      <c r="B439" s="78">
        <v>20110166</v>
      </c>
      <c r="C439" s="78" t="s">
        <v>712</v>
      </c>
      <c r="D439" s="77" t="s">
        <v>7</v>
      </c>
      <c r="E439" s="80">
        <v>1</v>
      </c>
    </row>
    <row r="440" s="75" customFormat="1" spans="1:5">
      <c r="A440" s="75" t="s">
        <v>514</v>
      </c>
      <c r="B440" s="78">
        <v>20110179</v>
      </c>
      <c r="C440" s="78" t="s">
        <v>713</v>
      </c>
      <c r="D440" s="77" t="s">
        <v>7</v>
      </c>
      <c r="E440" s="80">
        <v>1</v>
      </c>
    </row>
    <row r="441" s="75" customFormat="1" spans="1:5">
      <c r="A441" s="75" t="s">
        <v>514</v>
      </c>
      <c r="B441" s="78">
        <v>20110180</v>
      </c>
      <c r="C441" s="78" t="s">
        <v>713</v>
      </c>
      <c r="D441" s="77" t="s">
        <v>7</v>
      </c>
      <c r="E441" s="80">
        <v>1</v>
      </c>
    </row>
    <row r="442" s="75" customFormat="1" spans="1:5">
      <c r="A442" s="75" t="s">
        <v>514</v>
      </c>
      <c r="B442" s="78">
        <v>20110181</v>
      </c>
      <c r="C442" s="78" t="s">
        <v>713</v>
      </c>
      <c r="D442" s="77" t="s">
        <v>7</v>
      </c>
      <c r="E442" s="80">
        <v>1</v>
      </c>
    </row>
    <row r="443" s="75" customFormat="1" spans="1:5">
      <c r="A443" s="75" t="s">
        <v>514</v>
      </c>
      <c r="B443" s="78">
        <v>20110182</v>
      </c>
      <c r="C443" s="78" t="s">
        <v>713</v>
      </c>
      <c r="D443" s="77" t="s">
        <v>7</v>
      </c>
      <c r="E443" s="80">
        <v>1</v>
      </c>
    </row>
    <row r="444" s="75" customFormat="1" spans="1:5">
      <c r="A444" s="75" t="s">
        <v>514</v>
      </c>
      <c r="B444" s="78">
        <v>20120894</v>
      </c>
      <c r="C444" s="78" t="s">
        <v>714</v>
      </c>
      <c r="D444" s="77" t="s">
        <v>7</v>
      </c>
      <c r="E444" s="80">
        <v>1</v>
      </c>
    </row>
    <row r="445" s="75" customFormat="1" spans="1:5">
      <c r="A445" s="75" t="s">
        <v>514</v>
      </c>
      <c r="B445" s="78">
        <v>20120895</v>
      </c>
      <c r="C445" s="78" t="s">
        <v>714</v>
      </c>
      <c r="D445" s="77" t="s">
        <v>7</v>
      </c>
      <c r="E445" s="80">
        <v>1</v>
      </c>
    </row>
    <row r="446" s="75" customFormat="1" spans="1:5">
      <c r="A446" s="75" t="s">
        <v>514</v>
      </c>
      <c r="B446" s="78">
        <v>20120896</v>
      </c>
      <c r="C446" s="78" t="s">
        <v>714</v>
      </c>
      <c r="D446" s="77" t="s">
        <v>7</v>
      </c>
      <c r="E446" s="80">
        <v>1</v>
      </c>
    </row>
    <row r="447" s="75" customFormat="1" spans="1:5">
      <c r="A447" s="75" t="s">
        <v>514</v>
      </c>
      <c r="B447" s="78">
        <v>20120897</v>
      </c>
      <c r="C447" s="78" t="s">
        <v>714</v>
      </c>
      <c r="D447" s="77" t="s">
        <v>7</v>
      </c>
      <c r="E447" s="80">
        <v>1</v>
      </c>
    </row>
    <row r="448" s="75" customFormat="1" spans="1:5">
      <c r="A448" s="75" t="s">
        <v>514</v>
      </c>
      <c r="B448" s="78">
        <v>20120898</v>
      </c>
      <c r="C448" s="78" t="s">
        <v>714</v>
      </c>
      <c r="D448" s="77" t="s">
        <v>7</v>
      </c>
      <c r="E448" s="80">
        <v>1</v>
      </c>
    </row>
    <row r="449" s="75" customFormat="1" spans="1:5">
      <c r="A449" s="75" t="s">
        <v>514</v>
      </c>
      <c r="B449" s="78">
        <v>20120899</v>
      </c>
      <c r="C449" s="78" t="s">
        <v>714</v>
      </c>
      <c r="D449" s="77" t="s">
        <v>7</v>
      </c>
      <c r="E449" s="80">
        <v>1</v>
      </c>
    </row>
    <row r="450" s="75" customFormat="1" spans="1:5">
      <c r="A450" s="75" t="s">
        <v>514</v>
      </c>
      <c r="B450" s="78">
        <v>20120901</v>
      </c>
      <c r="C450" s="78" t="s">
        <v>715</v>
      </c>
      <c r="D450" s="77" t="s">
        <v>7</v>
      </c>
      <c r="E450" s="80">
        <v>1</v>
      </c>
    </row>
    <row r="451" s="75" customFormat="1" spans="1:5">
      <c r="A451" s="75" t="s">
        <v>514</v>
      </c>
      <c r="B451" s="78">
        <v>20120902</v>
      </c>
      <c r="C451" s="78" t="s">
        <v>715</v>
      </c>
      <c r="D451" s="77" t="s">
        <v>7</v>
      </c>
      <c r="E451" s="80">
        <v>1</v>
      </c>
    </row>
    <row r="452" s="75" customFormat="1" spans="1:5">
      <c r="A452" s="75" t="s">
        <v>514</v>
      </c>
      <c r="B452" s="78">
        <v>20120903</v>
      </c>
      <c r="C452" s="78" t="s">
        <v>715</v>
      </c>
      <c r="D452" s="77" t="s">
        <v>7</v>
      </c>
      <c r="E452" s="80">
        <v>1</v>
      </c>
    </row>
    <row r="453" s="75" customFormat="1" spans="1:5">
      <c r="A453" s="75" t="s">
        <v>514</v>
      </c>
      <c r="B453" s="78">
        <v>20120904</v>
      </c>
      <c r="C453" s="78" t="s">
        <v>715</v>
      </c>
      <c r="D453" s="77" t="s">
        <v>7</v>
      </c>
      <c r="E453" s="80">
        <v>1</v>
      </c>
    </row>
    <row r="454" s="75" customFormat="1" spans="1:5">
      <c r="A454" s="75" t="s">
        <v>514</v>
      </c>
      <c r="B454" s="78">
        <v>20120905</v>
      </c>
      <c r="C454" s="78" t="s">
        <v>715</v>
      </c>
      <c r="D454" s="77" t="s">
        <v>7</v>
      </c>
      <c r="E454" s="80">
        <v>1</v>
      </c>
    </row>
    <row r="455" s="75" customFormat="1" spans="1:5">
      <c r="A455" s="75" t="s">
        <v>514</v>
      </c>
      <c r="B455" s="78">
        <v>20120906</v>
      </c>
      <c r="C455" s="78" t="s">
        <v>715</v>
      </c>
      <c r="D455" s="77" t="s">
        <v>7</v>
      </c>
      <c r="E455" s="80">
        <v>1</v>
      </c>
    </row>
    <row r="456" s="75" customFormat="1" spans="1:5">
      <c r="A456" s="75" t="s">
        <v>514</v>
      </c>
      <c r="B456" s="78">
        <v>20120915</v>
      </c>
      <c r="C456" s="78" t="s">
        <v>716</v>
      </c>
      <c r="D456" s="77" t="s">
        <v>7</v>
      </c>
      <c r="E456" s="80">
        <v>1</v>
      </c>
    </row>
    <row r="457" s="75" customFormat="1" spans="1:5">
      <c r="A457" s="75" t="s">
        <v>514</v>
      </c>
      <c r="B457" s="78">
        <v>20120924</v>
      </c>
      <c r="C457" s="78" t="s">
        <v>717</v>
      </c>
      <c r="D457" s="77" t="s">
        <v>7</v>
      </c>
      <c r="E457" s="80">
        <v>1</v>
      </c>
    </row>
    <row r="458" s="75" customFormat="1" spans="1:5">
      <c r="A458" s="75" t="s">
        <v>514</v>
      </c>
      <c r="B458" s="78">
        <v>20120900</v>
      </c>
      <c r="C458" s="78" t="s">
        <v>718</v>
      </c>
      <c r="D458" s="77" t="s">
        <v>7</v>
      </c>
      <c r="E458" s="80">
        <v>1</v>
      </c>
    </row>
    <row r="459" s="75" customFormat="1" spans="1:5">
      <c r="A459" s="75" t="s">
        <v>514</v>
      </c>
      <c r="B459" s="78">
        <v>20100060</v>
      </c>
      <c r="C459" s="78" t="s">
        <v>719</v>
      </c>
      <c r="D459" s="77" t="s">
        <v>7</v>
      </c>
      <c r="E459" s="80">
        <v>1</v>
      </c>
    </row>
    <row r="460" s="75" customFormat="1" spans="1:5">
      <c r="A460" s="75" t="s">
        <v>514</v>
      </c>
      <c r="B460" s="78">
        <v>20100061</v>
      </c>
      <c r="C460" s="78" t="s">
        <v>719</v>
      </c>
      <c r="D460" s="77" t="s">
        <v>7</v>
      </c>
      <c r="E460" s="80">
        <v>1</v>
      </c>
    </row>
    <row r="461" s="75" customFormat="1" spans="1:5">
      <c r="A461" s="75" t="s">
        <v>514</v>
      </c>
      <c r="B461" s="78">
        <v>20100062</v>
      </c>
      <c r="C461" s="78" t="s">
        <v>719</v>
      </c>
      <c r="D461" s="77" t="s">
        <v>7</v>
      </c>
      <c r="E461" s="80">
        <v>1</v>
      </c>
    </row>
    <row r="462" s="75" customFormat="1" spans="1:5">
      <c r="A462" s="75" t="s">
        <v>514</v>
      </c>
      <c r="B462" s="78">
        <v>20100063</v>
      </c>
      <c r="C462" s="78" t="s">
        <v>719</v>
      </c>
      <c r="D462" s="77" t="s">
        <v>7</v>
      </c>
      <c r="E462" s="80">
        <v>1</v>
      </c>
    </row>
    <row r="463" s="75" customFormat="1" spans="1:5">
      <c r="A463" s="75" t="s">
        <v>514</v>
      </c>
      <c r="B463" s="78">
        <v>20100064</v>
      </c>
      <c r="C463" s="78" t="s">
        <v>719</v>
      </c>
      <c r="D463" s="77" t="s">
        <v>7</v>
      </c>
      <c r="E463" s="80">
        <v>1</v>
      </c>
    </row>
    <row r="464" s="75" customFormat="1" spans="1:5">
      <c r="A464" s="75" t="s">
        <v>514</v>
      </c>
      <c r="B464" s="78">
        <v>20100065</v>
      </c>
      <c r="C464" s="78" t="s">
        <v>719</v>
      </c>
      <c r="D464" s="77" t="s">
        <v>7</v>
      </c>
      <c r="E464" s="80">
        <v>1</v>
      </c>
    </row>
    <row r="465" s="75" customFormat="1" spans="1:5">
      <c r="A465" s="75" t="s">
        <v>514</v>
      </c>
      <c r="B465" s="78">
        <v>20100066</v>
      </c>
      <c r="C465" s="78" t="s">
        <v>719</v>
      </c>
      <c r="D465" s="77" t="s">
        <v>7</v>
      </c>
      <c r="E465" s="80">
        <v>1</v>
      </c>
    </row>
    <row r="466" s="75" customFormat="1" spans="1:5">
      <c r="A466" s="75" t="s">
        <v>514</v>
      </c>
      <c r="B466" s="78">
        <v>20100067</v>
      </c>
      <c r="C466" s="78" t="s">
        <v>719</v>
      </c>
      <c r="D466" s="77" t="s">
        <v>7</v>
      </c>
      <c r="E466" s="80">
        <v>1</v>
      </c>
    </row>
    <row r="467" s="75" customFormat="1" spans="1:5">
      <c r="A467" s="75" t="s">
        <v>514</v>
      </c>
      <c r="B467" s="78">
        <v>20110177</v>
      </c>
      <c r="C467" s="78" t="s">
        <v>720</v>
      </c>
      <c r="D467" s="77" t="s">
        <v>7</v>
      </c>
      <c r="E467" s="80">
        <v>1</v>
      </c>
    </row>
    <row r="468" s="75" customFormat="1" spans="1:5">
      <c r="A468" s="75" t="s">
        <v>514</v>
      </c>
      <c r="B468" s="78">
        <v>20100085</v>
      </c>
      <c r="C468" s="78" t="s">
        <v>710</v>
      </c>
      <c r="D468" s="77" t="s">
        <v>7</v>
      </c>
      <c r="E468" s="80">
        <v>1</v>
      </c>
    </row>
    <row r="469" s="75" customFormat="1" spans="1:5">
      <c r="A469" s="75" t="s">
        <v>514</v>
      </c>
      <c r="B469" s="78">
        <v>20100086</v>
      </c>
      <c r="C469" s="78" t="s">
        <v>710</v>
      </c>
      <c r="D469" s="77" t="s">
        <v>7</v>
      </c>
      <c r="E469" s="80">
        <v>1</v>
      </c>
    </row>
    <row r="470" s="75" customFormat="1" spans="1:5">
      <c r="A470" s="75" t="s">
        <v>514</v>
      </c>
      <c r="B470" s="78">
        <v>20110176</v>
      </c>
      <c r="C470" s="78" t="s">
        <v>721</v>
      </c>
      <c r="D470" s="77" t="s">
        <v>7</v>
      </c>
      <c r="E470" s="80">
        <v>1</v>
      </c>
    </row>
    <row r="471" s="75" customFormat="1" spans="1:5">
      <c r="A471" s="75" t="s">
        <v>514</v>
      </c>
      <c r="B471" s="78">
        <v>20120910</v>
      </c>
      <c r="C471" s="78" t="s">
        <v>722</v>
      </c>
      <c r="D471" s="77" t="s">
        <v>7</v>
      </c>
      <c r="E471" s="80">
        <v>1</v>
      </c>
    </row>
    <row r="472" s="75" customFormat="1" spans="1:5">
      <c r="A472" s="75" t="s">
        <v>514</v>
      </c>
      <c r="B472" s="78">
        <v>20120911</v>
      </c>
      <c r="C472" s="78" t="s">
        <v>723</v>
      </c>
      <c r="D472" s="77" t="s">
        <v>7</v>
      </c>
      <c r="E472" s="80">
        <v>1</v>
      </c>
    </row>
    <row r="473" s="75" customFormat="1" spans="1:5">
      <c r="A473" s="75" t="s">
        <v>514</v>
      </c>
      <c r="B473" s="78">
        <v>20120916</v>
      </c>
      <c r="C473" s="78" t="s">
        <v>724</v>
      </c>
      <c r="D473" s="77" t="s">
        <v>7</v>
      </c>
      <c r="E473" s="80">
        <v>1</v>
      </c>
    </row>
    <row r="474" s="75" customFormat="1" spans="1:5">
      <c r="A474" s="75" t="s">
        <v>514</v>
      </c>
      <c r="B474" s="78">
        <v>20120921</v>
      </c>
      <c r="C474" s="78" t="s">
        <v>724</v>
      </c>
      <c r="D474" s="77" t="s">
        <v>7</v>
      </c>
      <c r="E474" s="80">
        <v>1</v>
      </c>
    </row>
    <row r="475" s="75" customFormat="1" spans="1:5">
      <c r="A475" s="75" t="s">
        <v>514</v>
      </c>
      <c r="B475" s="78">
        <v>20120929</v>
      </c>
      <c r="C475" s="78" t="s">
        <v>725</v>
      </c>
      <c r="D475" s="77" t="s">
        <v>7</v>
      </c>
      <c r="E475" s="80">
        <v>1</v>
      </c>
    </row>
    <row r="476" s="75" customFormat="1" spans="1:5">
      <c r="A476" s="75" t="s">
        <v>514</v>
      </c>
      <c r="B476" s="78">
        <v>20051130</v>
      </c>
      <c r="C476" s="78" t="s">
        <v>305</v>
      </c>
      <c r="D476" s="77" t="s">
        <v>7</v>
      </c>
      <c r="E476" s="80">
        <v>1</v>
      </c>
    </row>
    <row r="477" s="75" customFormat="1" spans="1:5">
      <c r="A477" s="75" t="s">
        <v>514</v>
      </c>
      <c r="B477" s="78">
        <v>20051131</v>
      </c>
      <c r="C477" s="78" t="s">
        <v>305</v>
      </c>
      <c r="D477" s="77" t="s">
        <v>7</v>
      </c>
      <c r="E477" s="80">
        <v>1</v>
      </c>
    </row>
    <row r="478" s="75" customFormat="1" spans="1:5">
      <c r="A478" s="75" t="s">
        <v>514</v>
      </c>
      <c r="B478" s="78">
        <v>20040257</v>
      </c>
      <c r="C478" s="78" t="s">
        <v>305</v>
      </c>
      <c r="D478" s="77" t="s">
        <v>7</v>
      </c>
      <c r="E478" s="80">
        <v>1</v>
      </c>
    </row>
    <row r="479" s="75" customFormat="1" spans="1:5">
      <c r="A479" s="75" t="s">
        <v>514</v>
      </c>
      <c r="B479" s="78">
        <v>20220929</v>
      </c>
      <c r="C479" s="78" t="s">
        <v>726</v>
      </c>
      <c r="D479" s="77" t="s">
        <v>7</v>
      </c>
      <c r="E479" s="80">
        <v>1</v>
      </c>
    </row>
    <row r="480" s="75" customFormat="1" spans="1:5">
      <c r="A480" s="75" t="s">
        <v>514</v>
      </c>
      <c r="B480" s="78">
        <v>20110169</v>
      </c>
      <c r="C480" s="78" t="s">
        <v>727</v>
      </c>
      <c r="D480" s="77" t="s">
        <v>7</v>
      </c>
      <c r="E480" s="80">
        <v>1</v>
      </c>
    </row>
    <row r="481" s="75" customFormat="1" spans="1:5">
      <c r="A481" s="75" t="s">
        <v>514</v>
      </c>
      <c r="B481" s="78">
        <v>20110170</v>
      </c>
      <c r="C481" s="78" t="s">
        <v>727</v>
      </c>
      <c r="D481" s="77" t="s">
        <v>7</v>
      </c>
      <c r="E481" s="80">
        <v>1</v>
      </c>
    </row>
    <row r="482" s="75" customFormat="1" spans="1:5">
      <c r="A482" s="75" t="s">
        <v>514</v>
      </c>
      <c r="B482" s="78">
        <v>20110183</v>
      </c>
      <c r="C482" s="78" t="s">
        <v>728</v>
      </c>
      <c r="D482" s="77" t="s">
        <v>7</v>
      </c>
      <c r="E482" s="80">
        <v>1</v>
      </c>
    </row>
    <row r="483" s="75" customFormat="1" spans="1:5">
      <c r="A483" s="75" t="s">
        <v>514</v>
      </c>
      <c r="B483" s="78">
        <v>20110184</v>
      </c>
      <c r="C483" s="78" t="s">
        <v>728</v>
      </c>
      <c r="D483" s="77" t="s">
        <v>7</v>
      </c>
      <c r="E483" s="80">
        <v>1</v>
      </c>
    </row>
    <row r="484" s="75" customFormat="1" spans="1:5">
      <c r="A484" s="75" t="s">
        <v>514</v>
      </c>
      <c r="B484" s="78">
        <v>20110185</v>
      </c>
      <c r="C484" s="78" t="s">
        <v>728</v>
      </c>
      <c r="D484" s="77" t="s">
        <v>7</v>
      </c>
      <c r="E484" s="80">
        <v>1</v>
      </c>
    </row>
    <row r="485" s="75" customFormat="1" spans="1:5">
      <c r="A485" s="75" t="s">
        <v>514</v>
      </c>
      <c r="B485" s="78">
        <v>20120908</v>
      </c>
      <c r="C485" s="78" t="s">
        <v>729</v>
      </c>
      <c r="D485" s="77" t="s">
        <v>7</v>
      </c>
      <c r="E485" s="80">
        <v>1</v>
      </c>
    </row>
    <row r="486" s="75" customFormat="1" spans="1:5">
      <c r="A486" s="75" t="s">
        <v>514</v>
      </c>
      <c r="B486" s="78">
        <v>20120909</v>
      </c>
      <c r="C486" s="78" t="s">
        <v>730</v>
      </c>
      <c r="D486" s="77" t="s">
        <v>7</v>
      </c>
      <c r="E486" s="80">
        <v>1</v>
      </c>
    </row>
    <row r="487" s="75" customFormat="1" spans="1:5">
      <c r="A487" s="75" t="s">
        <v>514</v>
      </c>
      <c r="B487" s="78">
        <v>20120913</v>
      </c>
      <c r="C487" s="78" t="s">
        <v>662</v>
      </c>
      <c r="D487" s="77" t="s">
        <v>7</v>
      </c>
      <c r="E487" s="80">
        <v>1</v>
      </c>
    </row>
    <row r="488" s="75" customFormat="1" spans="1:5">
      <c r="A488" s="75" t="s">
        <v>514</v>
      </c>
      <c r="B488" s="78">
        <v>20110171</v>
      </c>
      <c r="C488" s="78" t="s">
        <v>731</v>
      </c>
      <c r="D488" s="77" t="s">
        <v>7</v>
      </c>
      <c r="E488" s="80">
        <v>1</v>
      </c>
    </row>
    <row r="489" s="75" customFormat="1" spans="1:5">
      <c r="A489" s="75" t="s">
        <v>514</v>
      </c>
      <c r="B489" s="78">
        <v>20110178</v>
      </c>
      <c r="C489" s="78" t="s">
        <v>732</v>
      </c>
      <c r="D489" s="77" t="s">
        <v>7</v>
      </c>
      <c r="E489" s="80">
        <v>1</v>
      </c>
    </row>
    <row r="490" s="75" customFormat="1" spans="1:5">
      <c r="A490" s="75" t="s">
        <v>514</v>
      </c>
      <c r="B490" s="78">
        <v>20120923</v>
      </c>
      <c r="C490" s="78" t="s">
        <v>733</v>
      </c>
      <c r="D490" s="77" t="s">
        <v>7</v>
      </c>
      <c r="E490" s="80">
        <v>1</v>
      </c>
    </row>
    <row r="491" s="75" customFormat="1" spans="1:5">
      <c r="A491" s="75" t="s">
        <v>514</v>
      </c>
      <c r="B491" s="78">
        <v>20051470</v>
      </c>
      <c r="C491" s="78" t="s">
        <v>734</v>
      </c>
      <c r="D491" s="77" t="s">
        <v>7</v>
      </c>
      <c r="E491" s="80">
        <v>1</v>
      </c>
    </row>
    <row r="492" s="75" customFormat="1" spans="1:5">
      <c r="A492" s="75" t="s">
        <v>514</v>
      </c>
      <c r="B492" s="78">
        <v>20051471</v>
      </c>
      <c r="C492" s="78" t="s">
        <v>734</v>
      </c>
      <c r="D492" s="77" t="s">
        <v>7</v>
      </c>
      <c r="E492" s="80">
        <v>1</v>
      </c>
    </row>
    <row r="493" s="75" customFormat="1" spans="1:5">
      <c r="A493" s="75" t="s">
        <v>514</v>
      </c>
      <c r="B493" s="78">
        <v>20051472</v>
      </c>
      <c r="C493" s="78" t="s">
        <v>734</v>
      </c>
      <c r="D493" s="77" t="s">
        <v>7</v>
      </c>
      <c r="E493" s="80">
        <v>1</v>
      </c>
    </row>
    <row r="494" s="75" customFormat="1" spans="1:5">
      <c r="A494" s="75" t="s">
        <v>514</v>
      </c>
      <c r="B494" s="78">
        <v>20051473</v>
      </c>
      <c r="C494" s="78" t="s">
        <v>734</v>
      </c>
      <c r="D494" s="77" t="s">
        <v>7</v>
      </c>
      <c r="E494" s="80">
        <v>1</v>
      </c>
    </row>
    <row r="495" s="75" customFormat="1" spans="1:5">
      <c r="A495" s="75" t="s">
        <v>514</v>
      </c>
      <c r="B495" s="78">
        <v>20051474</v>
      </c>
      <c r="C495" s="78" t="s">
        <v>734</v>
      </c>
      <c r="D495" s="77" t="s">
        <v>7</v>
      </c>
      <c r="E495" s="80">
        <v>1</v>
      </c>
    </row>
    <row r="496" s="75" customFormat="1" spans="1:5">
      <c r="A496" s="75" t="s">
        <v>514</v>
      </c>
      <c r="B496" s="78">
        <v>20051475</v>
      </c>
      <c r="C496" s="78" t="s">
        <v>734</v>
      </c>
      <c r="D496" s="77" t="s">
        <v>7</v>
      </c>
      <c r="E496" s="80">
        <v>1</v>
      </c>
    </row>
    <row r="497" s="75" customFormat="1" spans="1:5">
      <c r="A497" s="75" t="s">
        <v>514</v>
      </c>
      <c r="B497" s="78">
        <v>20051476</v>
      </c>
      <c r="C497" s="78" t="s">
        <v>734</v>
      </c>
      <c r="D497" s="77" t="s">
        <v>7</v>
      </c>
      <c r="E497" s="80">
        <v>1</v>
      </c>
    </row>
    <row r="498" s="75" customFormat="1" spans="1:5">
      <c r="A498" s="75" t="s">
        <v>514</v>
      </c>
      <c r="B498" s="78">
        <v>20051477</v>
      </c>
      <c r="C498" s="78" t="s">
        <v>734</v>
      </c>
      <c r="D498" s="77" t="s">
        <v>7</v>
      </c>
      <c r="E498" s="80">
        <v>1</v>
      </c>
    </row>
    <row r="499" s="75" customFormat="1" spans="1:5">
      <c r="A499" s="75" t="s">
        <v>514</v>
      </c>
      <c r="B499" s="78">
        <v>20051478</v>
      </c>
      <c r="C499" s="78" t="s">
        <v>734</v>
      </c>
      <c r="D499" s="77" t="s">
        <v>7</v>
      </c>
      <c r="E499" s="80">
        <v>1</v>
      </c>
    </row>
    <row r="500" s="75" customFormat="1" spans="1:5">
      <c r="A500" s="75" t="s">
        <v>514</v>
      </c>
      <c r="B500" s="78">
        <v>20051479</v>
      </c>
      <c r="C500" s="78" t="s">
        <v>734</v>
      </c>
      <c r="D500" s="77" t="s">
        <v>7</v>
      </c>
      <c r="E500" s="80">
        <v>1</v>
      </c>
    </row>
    <row r="501" s="75" customFormat="1" spans="1:5">
      <c r="A501" s="75" t="s">
        <v>514</v>
      </c>
      <c r="B501" s="78">
        <v>20051480</v>
      </c>
      <c r="C501" s="78" t="s">
        <v>734</v>
      </c>
      <c r="D501" s="77" t="s">
        <v>7</v>
      </c>
      <c r="E501" s="80">
        <v>1</v>
      </c>
    </row>
    <row r="502" s="75" customFormat="1" spans="1:5">
      <c r="A502" s="75" t="s">
        <v>514</v>
      </c>
      <c r="B502" s="78">
        <v>20051481</v>
      </c>
      <c r="C502" s="78" t="s">
        <v>734</v>
      </c>
      <c r="D502" s="77" t="s">
        <v>7</v>
      </c>
      <c r="E502" s="80">
        <v>1</v>
      </c>
    </row>
    <row r="503" s="75" customFormat="1" spans="1:5">
      <c r="A503" s="75" t="s">
        <v>514</v>
      </c>
      <c r="B503" s="78">
        <v>20051482</v>
      </c>
      <c r="C503" s="78" t="s">
        <v>734</v>
      </c>
      <c r="D503" s="77" t="s">
        <v>7</v>
      </c>
      <c r="E503" s="80">
        <v>1</v>
      </c>
    </row>
    <row r="504" s="75" customFormat="1" spans="1:5">
      <c r="A504" s="75" t="s">
        <v>514</v>
      </c>
      <c r="B504" s="78">
        <v>20051483</v>
      </c>
      <c r="C504" s="78" t="s">
        <v>734</v>
      </c>
      <c r="D504" s="77" t="s">
        <v>7</v>
      </c>
      <c r="E504" s="80">
        <v>1</v>
      </c>
    </row>
    <row r="505" s="75" customFormat="1" spans="1:5">
      <c r="A505" s="75" t="s">
        <v>514</v>
      </c>
      <c r="B505" s="78">
        <v>20051484</v>
      </c>
      <c r="C505" s="78" t="s">
        <v>734</v>
      </c>
      <c r="D505" s="77" t="s">
        <v>7</v>
      </c>
      <c r="E505" s="80">
        <v>1</v>
      </c>
    </row>
    <row r="506" s="75" customFormat="1" spans="1:5">
      <c r="A506" s="75" t="s">
        <v>514</v>
      </c>
      <c r="B506" s="78">
        <v>20051485</v>
      </c>
      <c r="C506" s="78" t="s">
        <v>734</v>
      </c>
      <c r="D506" s="77" t="s">
        <v>7</v>
      </c>
      <c r="E506" s="80">
        <v>1</v>
      </c>
    </row>
    <row r="507" s="75" customFormat="1" spans="1:5">
      <c r="A507" s="75" t="s">
        <v>514</v>
      </c>
      <c r="B507" s="78">
        <v>20051486</v>
      </c>
      <c r="C507" s="78" t="s">
        <v>734</v>
      </c>
      <c r="D507" s="77" t="s">
        <v>7</v>
      </c>
      <c r="E507" s="80">
        <v>1</v>
      </c>
    </row>
    <row r="508" s="75" customFormat="1" spans="1:5">
      <c r="A508" s="75" t="s">
        <v>514</v>
      </c>
      <c r="B508" s="78">
        <v>20051487</v>
      </c>
      <c r="C508" s="78" t="s">
        <v>734</v>
      </c>
      <c r="D508" s="77" t="s">
        <v>7</v>
      </c>
      <c r="E508" s="80">
        <v>1</v>
      </c>
    </row>
    <row r="509" s="75" customFormat="1" spans="1:5">
      <c r="A509" s="75" t="s">
        <v>514</v>
      </c>
      <c r="B509" s="78">
        <v>20051488</v>
      </c>
      <c r="C509" s="78" t="s">
        <v>734</v>
      </c>
      <c r="D509" s="77" t="s">
        <v>7</v>
      </c>
      <c r="E509" s="80">
        <v>1</v>
      </c>
    </row>
    <row r="510" s="75" customFormat="1" spans="1:5">
      <c r="A510" s="75" t="s">
        <v>514</v>
      </c>
      <c r="B510" s="78">
        <v>20051489</v>
      </c>
      <c r="C510" s="78" t="s">
        <v>734</v>
      </c>
      <c r="D510" s="77" t="s">
        <v>7</v>
      </c>
      <c r="E510" s="80">
        <v>1</v>
      </c>
    </row>
    <row r="511" s="75" customFormat="1" spans="1:5">
      <c r="A511" s="75" t="s">
        <v>514</v>
      </c>
      <c r="B511" s="78">
        <v>20051490</v>
      </c>
      <c r="C511" s="78" t="s">
        <v>734</v>
      </c>
      <c r="D511" s="77" t="s">
        <v>7</v>
      </c>
      <c r="E511" s="80">
        <v>1</v>
      </c>
    </row>
    <row r="512" s="75" customFormat="1" spans="1:5">
      <c r="A512" s="75" t="s">
        <v>514</v>
      </c>
      <c r="B512" s="78">
        <v>20051491</v>
      </c>
      <c r="C512" s="78" t="s">
        <v>734</v>
      </c>
      <c r="D512" s="77" t="s">
        <v>7</v>
      </c>
      <c r="E512" s="80">
        <v>1</v>
      </c>
    </row>
    <row r="513" s="75" customFormat="1" spans="1:5">
      <c r="A513" s="75" t="s">
        <v>514</v>
      </c>
      <c r="B513" s="78">
        <v>20051492</v>
      </c>
      <c r="C513" s="78" t="s">
        <v>734</v>
      </c>
      <c r="D513" s="77" t="s">
        <v>7</v>
      </c>
      <c r="E513" s="80">
        <v>1</v>
      </c>
    </row>
    <row r="514" s="75" customFormat="1" spans="1:5">
      <c r="A514" s="75" t="s">
        <v>514</v>
      </c>
      <c r="B514" s="78">
        <v>20070527</v>
      </c>
      <c r="C514" s="78" t="s">
        <v>735</v>
      </c>
      <c r="D514" s="77" t="s">
        <v>7</v>
      </c>
      <c r="E514" s="80">
        <v>1</v>
      </c>
    </row>
    <row r="515" s="75" customFormat="1" spans="1:5">
      <c r="A515" s="75" t="s">
        <v>514</v>
      </c>
      <c r="B515" s="78">
        <v>20070528</v>
      </c>
      <c r="C515" s="78" t="s">
        <v>735</v>
      </c>
      <c r="D515" s="77" t="s">
        <v>7</v>
      </c>
      <c r="E515" s="80">
        <v>1</v>
      </c>
    </row>
    <row r="516" s="75" customFormat="1" spans="1:5">
      <c r="A516" s="75" t="s">
        <v>514</v>
      </c>
      <c r="B516" s="78">
        <v>20070529</v>
      </c>
      <c r="C516" s="78" t="s">
        <v>735</v>
      </c>
      <c r="D516" s="77" t="s">
        <v>7</v>
      </c>
      <c r="E516" s="80">
        <v>1</v>
      </c>
    </row>
    <row r="517" s="75" customFormat="1" spans="1:5">
      <c r="A517" s="75" t="s">
        <v>514</v>
      </c>
      <c r="B517" s="78">
        <v>20070530</v>
      </c>
      <c r="C517" s="78" t="s">
        <v>735</v>
      </c>
      <c r="D517" s="77" t="s">
        <v>7</v>
      </c>
      <c r="E517" s="80">
        <v>1</v>
      </c>
    </row>
    <row r="518" s="75" customFormat="1" spans="1:5">
      <c r="A518" s="75" t="s">
        <v>514</v>
      </c>
      <c r="B518" s="78">
        <v>20070531</v>
      </c>
      <c r="C518" s="78" t="s">
        <v>735</v>
      </c>
      <c r="D518" s="77" t="s">
        <v>7</v>
      </c>
      <c r="E518" s="80">
        <v>1</v>
      </c>
    </row>
    <row r="519" s="75" customFormat="1" spans="1:5">
      <c r="A519" s="75" t="s">
        <v>514</v>
      </c>
      <c r="B519" s="78">
        <v>20070533</v>
      </c>
      <c r="C519" s="78" t="s">
        <v>735</v>
      </c>
      <c r="D519" s="77" t="s">
        <v>7</v>
      </c>
      <c r="E519" s="80">
        <v>1</v>
      </c>
    </row>
    <row r="520" s="75" customFormat="1" spans="1:5">
      <c r="A520" s="75" t="s">
        <v>514</v>
      </c>
      <c r="B520" s="78">
        <v>20070534</v>
      </c>
      <c r="C520" s="78" t="s">
        <v>735</v>
      </c>
      <c r="D520" s="77" t="s">
        <v>7</v>
      </c>
      <c r="E520" s="80">
        <v>1</v>
      </c>
    </row>
    <row r="521" s="75" customFormat="1" spans="1:5">
      <c r="A521" s="75" t="s">
        <v>514</v>
      </c>
      <c r="B521" s="78">
        <v>20070535</v>
      </c>
      <c r="C521" s="78" t="s">
        <v>735</v>
      </c>
      <c r="D521" s="77" t="s">
        <v>7</v>
      </c>
      <c r="E521" s="80">
        <v>1</v>
      </c>
    </row>
    <row r="522" s="75" customFormat="1" spans="1:5">
      <c r="A522" s="75" t="s">
        <v>514</v>
      </c>
      <c r="B522" s="78">
        <v>20070536</v>
      </c>
      <c r="C522" s="78" t="s">
        <v>735</v>
      </c>
      <c r="D522" s="77" t="s">
        <v>7</v>
      </c>
      <c r="E522" s="80">
        <v>1</v>
      </c>
    </row>
    <row r="523" s="75" customFormat="1" spans="1:5">
      <c r="A523" s="75" t="s">
        <v>514</v>
      </c>
      <c r="B523" s="78">
        <v>20070537</v>
      </c>
      <c r="C523" s="78" t="s">
        <v>735</v>
      </c>
      <c r="D523" s="77" t="s">
        <v>7</v>
      </c>
      <c r="E523" s="80">
        <v>1</v>
      </c>
    </row>
    <row r="524" s="75" customFormat="1" spans="1:5">
      <c r="A524" s="75" t="s">
        <v>514</v>
      </c>
      <c r="B524" s="78">
        <v>20070538</v>
      </c>
      <c r="C524" s="78" t="s">
        <v>735</v>
      </c>
      <c r="D524" s="77" t="s">
        <v>7</v>
      </c>
      <c r="E524" s="80">
        <v>1</v>
      </c>
    </row>
    <row r="525" s="75" customFormat="1" spans="1:5">
      <c r="A525" s="75" t="s">
        <v>514</v>
      </c>
      <c r="B525" s="78">
        <v>20070539</v>
      </c>
      <c r="C525" s="78" t="s">
        <v>735</v>
      </c>
      <c r="D525" s="77" t="s">
        <v>7</v>
      </c>
      <c r="E525" s="80">
        <v>1</v>
      </c>
    </row>
    <row r="526" s="75" customFormat="1" spans="1:5">
      <c r="A526" s="75" t="s">
        <v>514</v>
      </c>
      <c r="B526" s="78">
        <v>20070540</v>
      </c>
      <c r="C526" s="78" t="s">
        <v>735</v>
      </c>
      <c r="D526" s="77" t="s">
        <v>7</v>
      </c>
      <c r="E526" s="80">
        <v>1</v>
      </c>
    </row>
    <row r="527" s="75" customFormat="1" spans="1:5">
      <c r="A527" s="75" t="s">
        <v>514</v>
      </c>
      <c r="B527" s="78">
        <v>20070541</v>
      </c>
      <c r="C527" s="78" t="s">
        <v>735</v>
      </c>
      <c r="D527" s="77" t="s">
        <v>7</v>
      </c>
      <c r="E527" s="80">
        <v>1</v>
      </c>
    </row>
    <row r="528" s="75" customFormat="1" spans="1:5">
      <c r="A528" s="75" t="s">
        <v>514</v>
      </c>
      <c r="B528" s="78">
        <v>20070542</v>
      </c>
      <c r="C528" s="78" t="s">
        <v>735</v>
      </c>
      <c r="D528" s="77" t="s">
        <v>7</v>
      </c>
      <c r="E528" s="80">
        <v>1</v>
      </c>
    </row>
    <row r="529" s="75" customFormat="1" spans="1:5">
      <c r="A529" s="75" t="s">
        <v>514</v>
      </c>
      <c r="B529" s="78">
        <v>20070543</v>
      </c>
      <c r="C529" s="78" t="s">
        <v>735</v>
      </c>
      <c r="D529" s="77" t="s">
        <v>7</v>
      </c>
      <c r="E529" s="80">
        <v>1</v>
      </c>
    </row>
    <row r="530" s="75" customFormat="1" spans="1:5">
      <c r="A530" s="75" t="s">
        <v>514</v>
      </c>
      <c r="B530" s="78">
        <v>20070544</v>
      </c>
      <c r="C530" s="78" t="s">
        <v>735</v>
      </c>
      <c r="D530" s="77" t="s">
        <v>7</v>
      </c>
      <c r="E530" s="80">
        <v>1</v>
      </c>
    </row>
    <row r="531" s="75" customFormat="1" spans="1:5">
      <c r="A531" s="75" t="s">
        <v>514</v>
      </c>
      <c r="B531" s="78">
        <v>20070545</v>
      </c>
      <c r="C531" s="78" t="s">
        <v>735</v>
      </c>
      <c r="D531" s="77" t="s">
        <v>7</v>
      </c>
      <c r="E531" s="80">
        <v>1</v>
      </c>
    </row>
    <row r="532" s="75" customFormat="1" spans="1:5">
      <c r="A532" s="75" t="s">
        <v>514</v>
      </c>
      <c r="B532" s="78">
        <v>20070546</v>
      </c>
      <c r="C532" s="78" t="s">
        <v>735</v>
      </c>
      <c r="D532" s="77" t="s">
        <v>7</v>
      </c>
      <c r="E532" s="80">
        <v>1</v>
      </c>
    </row>
    <row r="533" s="75" customFormat="1" spans="1:5">
      <c r="A533" s="75" t="s">
        <v>514</v>
      </c>
      <c r="B533" s="78">
        <v>20070547</v>
      </c>
      <c r="C533" s="78" t="s">
        <v>735</v>
      </c>
      <c r="D533" s="77" t="s">
        <v>7</v>
      </c>
      <c r="E533" s="80">
        <v>1</v>
      </c>
    </row>
    <row r="534" s="75" customFormat="1" spans="1:5">
      <c r="A534" s="75" t="s">
        <v>514</v>
      </c>
      <c r="B534" s="78">
        <v>20070548</v>
      </c>
      <c r="C534" s="78" t="s">
        <v>735</v>
      </c>
      <c r="D534" s="77" t="s">
        <v>7</v>
      </c>
      <c r="E534" s="80">
        <v>1</v>
      </c>
    </row>
    <row r="535" s="75" customFormat="1" spans="1:5">
      <c r="A535" s="75" t="s">
        <v>514</v>
      </c>
      <c r="B535" s="78">
        <v>20070549</v>
      </c>
      <c r="C535" s="78" t="s">
        <v>735</v>
      </c>
      <c r="D535" s="77" t="s">
        <v>7</v>
      </c>
      <c r="E535" s="80">
        <v>1</v>
      </c>
    </row>
    <row r="536" s="75" customFormat="1" spans="1:5">
      <c r="A536" s="75" t="s">
        <v>514</v>
      </c>
      <c r="B536" s="78">
        <v>20070550</v>
      </c>
      <c r="C536" s="78" t="s">
        <v>735</v>
      </c>
      <c r="D536" s="77" t="s">
        <v>7</v>
      </c>
      <c r="E536" s="80">
        <v>1</v>
      </c>
    </row>
    <row r="537" s="75" customFormat="1" spans="1:5">
      <c r="A537" s="75" t="s">
        <v>514</v>
      </c>
      <c r="B537" s="78">
        <v>20070551</v>
      </c>
      <c r="C537" s="78" t="s">
        <v>735</v>
      </c>
      <c r="D537" s="77" t="s">
        <v>7</v>
      </c>
      <c r="E537" s="80">
        <v>1</v>
      </c>
    </row>
    <row r="538" s="75" customFormat="1" spans="1:5">
      <c r="A538" s="75" t="s">
        <v>514</v>
      </c>
      <c r="B538" s="78">
        <v>20070552</v>
      </c>
      <c r="C538" s="78" t="s">
        <v>735</v>
      </c>
      <c r="D538" s="77" t="s">
        <v>7</v>
      </c>
      <c r="E538" s="80">
        <v>1</v>
      </c>
    </row>
    <row r="539" s="75" customFormat="1" spans="1:5">
      <c r="A539" s="75" t="s">
        <v>514</v>
      </c>
      <c r="B539" s="78">
        <v>20070553</v>
      </c>
      <c r="C539" s="78" t="s">
        <v>735</v>
      </c>
      <c r="D539" s="77" t="s">
        <v>7</v>
      </c>
      <c r="E539" s="80">
        <v>1</v>
      </c>
    </row>
    <row r="540" s="75" customFormat="1" spans="1:5">
      <c r="A540" s="75" t="s">
        <v>514</v>
      </c>
      <c r="B540" s="78">
        <v>20070554</v>
      </c>
      <c r="C540" s="78" t="s">
        <v>735</v>
      </c>
      <c r="D540" s="77" t="s">
        <v>7</v>
      </c>
      <c r="E540" s="80">
        <v>1</v>
      </c>
    </row>
    <row r="541" s="75" customFormat="1" spans="1:5">
      <c r="A541" s="75" t="s">
        <v>514</v>
      </c>
      <c r="B541" s="78">
        <v>20070555</v>
      </c>
      <c r="C541" s="78" t="s">
        <v>735</v>
      </c>
      <c r="D541" s="77" t="s">
        <v>7</v>
      </c>
      <c r="E541" s="80">
        <v>1</v>
      </c>
    </row>
    <row r="542" s="75" customFormat="1" spans="1:5">
      <c r="A542" s="75" t="s">
        <v>514</v>
      </c>
      <c r="B542" s="78">
        <v>20070556</v>
      </c>
      <c r="C542" s="78" t="s">
        <v>735</v>
      </c>
      <c r="D542" s="77" t="s">
        <v>7</v>
      </c>
      <c r="E542" s="80">
        <v>1</v>
      </c>
    </row>
    <row r="543" s="75" customFormat="1" spans="1:5">
      <c r="A543" s="75" t="s">
        <v>514</v>
      </c>
      <c r="B543" s="78">
        <v>20070557</v>
      </c>
      <c r="C543" s="78" t="s">
        <v>735</v>
      </c>
      <c r="D543" s="77" t="s">
        <v>7</v>
      </c>
      <c r="E543" s="80">
        <v>1</v>
      </c>
    </row>
    <row r="544" s="75" customFormat="1" spans="1:5">
      <c r="A544" s="75" t="s">
        <v>514</v>
      </c>
      <c r="B544" s="78">
        <v>20070558</v>
      </c>
      <c r="C544" s="78" t="s">
        <v>735</v>
      </c>
      <c r="D544" s="77" t="s">
        <v>7</v>
      </c>
      <c r="E544" s="80">
        <v>1</v>
      </c>
    </row>
    <row r="545" s="75" customFormat="1" spans="1:5">
      <c r="A545" s="75" t="s">
        <v>514</v>
      </c>
      <c r="B545" s="78">
        <v>20070559</v>
      </c>
      <c r="C545" s="78" t="s">
        <v>735</v>
      </c>
      <c r="D545" s="77" t="s">
        <v>7</v>
      </c>
      <c r="E545" s="80">
        <v>1</v>
      </c>
    </row>
    <row r="546" s="75" customFormat="1" spans="1:5">
      <c r="A546" s="75" t="s">
        <v>514</v>
      </c>
      <c r="B546" s="78">
        <v>20070560</v>
      </c>
      <c r="C546" s="78" t="s">
        <v>735</v>
      </c>
      <c r="D546" s="77" t="s">
        <v>7</v>
      </c>
      <c r="E546" s="80">
        <v>1</v>
      </c>
    </row>
    <row r="547" s="75" customFormat="1" spans="1:5">
      <c r="A547" s="75" t="s">
        <v>514</v>
      </c>
      <c r="B547" s="78">
        <v>20070561</v>
      </c>
      <c r="C547" s="78" t="s">
        <v>735</v>
      </c>
      <c r="D547" s="77" t="s">
        <v>7</v>
      </c>
      <c r="E547" s="80">
        <v>1</v>
      </c>
    </row>
    <row r="548" s="75" customFormat="1" spans="1:5">
      <c r="A548" s="75" t="s">
        <v>514</v>
      </c>
      <c r="B548" s="78">
        <v>20070562</v>
      </c>
      <c r="C548" s="78" t="s">
        <v>735</v>
      </c>
      <c r="D548" s="77" t="s">
        <v>7</v>
      </c>
      <c r="E548" s="80">
        <v>1</v>
      </c>
    </row>
    <row r="549" s="75" customFormat="1" spans="1:5">
      <c r="A549" s="75" t="s">
        <v>514</v>
      </c>
      <c r="B549" s="78">
        <v>20070563</v>
      </c>
      <c r="C549" s="78" t="s">
        <v>735</v>
      </c>
      <c r="D549" s="77" t="s">
        <v>7</v>
      </c>
      <c r="E549" s="80">
        <v>1</v>
      </c>
    </row>
    <row r="550" s="75" customFormat="1" spans="1:5">
      <c r="A550" s="75" t="s">
        <v>514</v>
      </c>
      <c r="B550" s="78">
        <v>20070564</v>
      </c>
      <c r="C550" s="78" t="s">
        <v>735</v>
      </c>
      <c r="D550" s="77" t="s">
        <v>7</v>
      </c>
      <c r="E550" s="80">
        <v>1</v>
      </c>
    </row>
    <row r="551" s="75" customFormat="1" spans="1:5">
      <c r="A551" s="75" t="s">
        <v>514</v>
      </c>
      <c r="B551" s="78">
        <v>20070565</v>
      </c>
      <c r="C551" s="78" t="s">
        <v>735</v>
      </c>
      <c r="D551" s="77" t="s">
        <v>7</v>
      </c>
      <c r="E551" s="80">
        <v>1</v>
      </c>
    </row>
    <row r="552" s="75" customFormat="1" spans="1:5">
      <c r="A552" s="75" t="s">
        <v>514</v>
      </c>
      <c r="B552" s="78">
        <v>20070566</v>
      </c>
      <c r="C552" s="78" t="s">
        <v>735</v>
      </c>
      <c r="D552" s="77" t="s">
        <v>7</v>
      </c>
      <c r="E552" s="80">
        <v>1</v>
      </c>
    </row>
    <row r="553" s="75" customFormat="1" spans="1:5">
      <c r="A553" s="75" t="s">
        <v>514</v>
      </c>
      <c r="B553" s="78">
        <v>20070567</v>
      </c>
      <c r="C553" s="78" t="s">
        <v>735</v>
      </c>
      <c r="D553" s="77" t="s">
        <v>7</v>
      </c>
      <c r="E553" s="80">
        <v>1</v>
      </c>
    </row>
    <row r="554" s="75" customFormat="1" spans="1:5">
      <c r="A554" s="75" t="s">
        <v>514</v>
      </c>
      <c r="B554" s="78">
        <v>20070568</v>
      </c>
      <c r="C554" s="78" t="s">
        <v>735</v>
      </c>
      <c r="D554" s="77" t="s">
        <v>7</v>
      </c>
      <c r="E554" s="80">
        <v>1</v>
      </c>
    </row>
    <row r="555" s="75" customFormat="1" spans="1:5">
      <c r="A555" s="75" t="s">
        <v>514</v>
      </c>
      <c r="B555" s="78">
        <v>20070569</v>
      </c>
      <c r="C555" s="78" t="s">
        <v>735</v>
      </c>
      <c r="D555" s="77" t="s">
        <v>7</v>
      </c>
      <c r="E555" s="80">
        <v>1</v>
      </c>
    </row>
    <row r="556" s="75" customFormat="1" spans="1:5">
      <c r="A556" s="75" t="s">
        <v>514</v>
      </c>
      <c r="B556" s="78">
        <v>20070570</v>
      </c>
      <c r="C556" s="78" t="s">
        <v>735</v>
      </c>
      <c r="D556" s="77" t="s">
        <v>7</v>
      </c>
      <c r="E556" s="80">
        <v>1</v>
      </c>
    </row>
    <row r="557" s="75" customFormat="1" spans="1:5">
      <c r="A557" s="75" t="s">
        <v>514</v>
      </c>
      <c r="B557" s="78">
        <v>20070571</v>
      </c>
      <c r="C557" s="78" t="s">
        <v>735</v>
      </c>
      <c r="D557" s="77" t="s">
        <v>7</v>
      </c>
      <c r="E557" s="80">
        <v>1</v>
      </c>
    </row>
    <row r="558" s="75" customFormat="1" spans="1:5">
      <c r="A558" s="75" t="s">
        <v>514</v>
      </c>
      <c r="B558" s="78">
        <v>20070572</v>
      </c>
      <c r="C558" s="78" t="s">
        <v>735</v>
      </c>
      <c r="D558" s="77" t="s">
        <v>7</v>
      </c>
      <c r="E558" s="80">
        <v>1</v>
      </c>
    </row>
    <row r="559" s="75" customFormat="1" spans="1:5">
      <c r="A559" s="75" t="s">
        <v>514</v>
      </c>
      <c r="B559" s="78">
        <v>20070573</v>
      </c>
      <c r="C559" s="78" t="s">
        <v>735</v>
      </c>
      <c r="D559" s="77" t="s">
        <v>7</v>
      </c>
      <c r="E559" s="80">
        <v>1</v>
      </c>
    </row>
    <row r="560" s="75" customFormat="1" spans="1:5">
      <c r="A560" s="75" t="s">
        <v>514</v>
      </c>
      <c r="B560" s="78">
        <v>20070574</v>
      </c>
      <c r="C560" s="78" t="s">
        <v>735</v>
      </c>
      <c r="D560" s="77" t="s">
        <v>7</v>
      </c>
      <c r="E560" s="80">
        <v>1</v>
      </c>
    </row>
    <row r="561" s="75" customFormat="1" spans="1:5">
      <c r="A561" s="75" t="s">
        <v>514</v>
      </c>
      <c r="B561" s="78">
        <v>20070575</v>
      </c>
      <c r="C561" s="78" t="s">
        <v>735</v>
      </c>
      <c r="D561" s="77" t="s">
        <v>7</v>
      </c>
      <c r="E561" s="80">
        <v>1</v>
      </c>
    </row>
    <row r="562" s="75" customFormat="1" spans="1:5">
      <c r="A562" s="75" t="s">
        <v>514</v>
      </c>
      <c r="B562" s="78">
        <v>20070576</v>
      </c>
      <c r="C562" s="78" t="s">
        <v>735</v>
      </c>
      <c r="D562" s="77" t="s">
        <v>7</v>
      </c>
      <c r="E562" s="80">
        <v>1</v>
      </c>
    </row>
    <row r="563" s="75" customFormat="1" spans="1:5">
      <c r="A563" s="75" t="s">
        <v>514</v>
      </c>
      <c r="B563" s="78">
        <v>20100003</v>
      </c>
      <c r="C563" s="78" t="s">
        <v>708</v>
      </c>
      <c r="D563" s="77" t="s">
        <v>7</v>
      </c>
      <c r="E563" s="80">
        <v>1</v>
      </c>
    </row>
    <row r="564" s="75" customFormat="1" spans="1:5">
      <c r="A564" s="75" t="s">
        <v>514</v>
      </c>
      <c r="B564" s="78">
        <v>20100004</v>
      </c>
      <c r="C564" s="78" t="s">
        <v>708</v>
      </c>
      <c r="D564" s="77" t="s">
        <v>7</v>
      </c>
      <c r="E564" s="80">
        <v>1</v>
      </c>
    </row>
    <row r="565" s="75" customFormat="1" spans="1:5">
      <c r="A565" s="75" t="s">
        <v>514</v>
      </c>
      <c r="B565" s="78">
        <v>20100006</v>
      </c>
      <c r="C565" s="78" t="s">
        <v>708</v>
      </c>
      <c r="D565" s="77" t="s">
        <v>7</v>
      </c>
      <c r="E565" s="80">
        <v>1</v>
      </c>
    </row>
    <row r="566" s="75" customFormat="1" spans="1:5">
      <c r="A566" s="75" t="s">
        <v>514</v>
      </c>
      <c r="B566" s="78">
        <v>20100007</v>
      </c>
      <c r="C566" s="78" t="s">
        <v>708</v>
      </c>
      <c r="D566" s="77" t="s">
        <v>7</v>
      </c>
      <c r="E566" s="80">
        <v>1</v>
      </c>
    </row>
    <row r="567" s="75" customFormat="1" spans="1:5">
      <c r="A567" s="75" t="s">
        <v>514</v>
      </c>
      <c r="B567" s="78">
        <v>20100008</v>
      </c>
      <c r="C567" s="78" t="s">
        <v>708</v>
      </c>
      <c r="D567" s="77" t="s">
        <v>7</v>
      </c>
      <c r="E567" s="80">
        <v>1</v>
      </c>
    </row>
    <row r="568" s="75" customFormat="1" spans="1:5">
      <c r="A568" s="75" t="s">
        <v>514</v>
      </c>
      <c r="B568" s="78">
        <v>20100009</v>
      </c>
      <c r="C568" s="78" t="s">
        <v>708</v>
      </c>
      <c r="D568" s="77" t="s">
        <v>7</v>
      </c>
      <c r="E568" s="80">
        <v>1</v>
      </c>
    </row>
    <row r="569" s="75" customFormat="1" spans="1:5">
      <c r="A569" s="75" t="s">
        <v>514</v>
      </c>
      <c r="B569" s="78">
        <v>20100010</v>
      </c>
      <c r="C569" s="78" t="s">
        <v>708</v>
      </c>
      <c r="D569" s="77" t="s">
        <v>7</v>
      </c>
      <c r="E569" s="80">
        <v>1</v>
      </c>
    </row>
    <row r="570" s="75" customFormat="1" spans="1:5">
      <c r="A570" s="75" t="s">
        <v>514</v>
      </c>
      <c r="B570" s="78">
        <v>20100052</v>
      </c>
      <c r="C570" s="78" t="s">
        <v>736</v>
      </c>
      <c r="D570" s="77" t="s">
        <v>7</v>
      </c>
      <c r="E570" s="80">
        <v>1</v>
      </c>
    </row>
    <row r="571" s="75" customFormat="1" spans="1:5">
      <c r="A571" s="75" t="s">
        <v>514</v>
      </c>
      <c r="B571" s="78">
        <v>20100053</v>
      </c>
      <c r="C571" s="78" t="s">
        <v>736</v>
      </c>
      <c r="D571" s="77" t="s">
        <v>7</v>
      </c>
      <c r="E571" s="80">
        <v>1</v>
      </c>
    </row>
    <row r="572" s="75" customFormat="1" spans="1:5">
      <c r="A572" s="75" t="s">
        <v>514</v>
      </c>
      <c r="B572" s="78">
        <v>20100054</v>
      </c>
      <c r="C572" s="78" t="s">
        <v>736</v>
      </c>
      <c r="D572" s="77" t="s">
        <v>7</v>
      </c>
      <c r="E572" s="80">
        <v>1</v>
      </c>
    </row>
    <row r="573" s="75" customFormat="1" spans="1:5">
      <c r="A573" s="75" t="s">
        <v>514</v>
      </c>
      <c r="B573" s="78">
        <v>20100055</v>
      </c>
      <c r="C573" s="78" t="s">
        <v>736</v>
      </c>
      <c r="D573" s="77" t="s">
        <v>7</v>
      </c>
      <c r="E573" s="80">
        <v>1</v>
      </c>
    </row>
    <row r="574" s="75" customFormat="1" spans="1:5">
      <c r="A574" s="75" t="s">
        <v>514</v>
      </c>
      <c r="B574" s="78">
        <v>20100056</v>
      </c>
      <c r="C574" s="78" t="s">
        <v>736</v>
      </c>
      <c r="D574" s="77" t="s">
        <v>7</v>
      </c>
      <c r="E574" s="80">
        <v>1</v>
      </c>
    </row>
    <row r="575" s="75" customFormat="1" spans="1:5">
      <c r="A575" s="75" t="s">
        <v>514</v>
      </c>
      <c r="B575" s="78">
        <v>20100057</v>
      </c>
      <c r="C575" s="78" t="s">
        <v>736</v>
      </c>
      <c r="D575" s="77" t="s">
        <v>7</v>
      </c>
      <c r="E575" s="80">
        <v>1</v>
      </c>
    </row>
    <row r="576" s="75" customFormat="1" spans="1:5">
      <c r="A576" s="75" t="s">
        <v>514</v>
      </c>
      <c r="B576" s="78">
        <v>20100058</v>
      </c>
      <c r="C576" s="78" t="s">
        <v>736</v>
      </c>
      <c r="D576" s="77" t="s">
        <v>7</v>
      </c>
      <c r="E576" s="80">
        <v>1</v>
      </c>
    </row>
    <row r="577" s="75" customFormat="1" spans="1:5">
      <c r="A577" s="75" t="s">
        <v>514</v>
      </c>
      <c r="B577" s="78">
        <v>20100059</v>
      </c>
      <c r="C577" s="78" t="s">
        <v>736</v>
      </c>
      <c r="D577" s="77" t="s">
        <v>7</v>
      </c>
      <c r="E577" s="80">
        <v>1</v>
      </c>
    </row>
    <row r="578" s="75" customFormat="1" spans="1:5">
      <c r="A578" s="75" t="s">
        <v>514</v>
      </c>
      <c r="B578" s="78">
        <v>20100133</v>
      </c>
      <c r="C578" s="78" t="s">
        <v>737</v>
      </c>
      <c r="D578" s="77" t="s">
        <v>7</v>
      </c>
      <c r="E578" s="80">
        <v>1</v>
      </c>
    </row>
    <row r="579" s="75" customFormat="1" spans="1:5">
      <c r="A579" s="75" t="s">
        <v>514</v>
      </c>
      <c r="B579" s="78">
        <v>20100134</v>
      </c>
      <c r="C579" s="78" t="s">
        <v>737</v>
      </c>
      <c r="D579" s="77" t="s">
        <v>7</v>
      </c>
      <c r="E579" s="80">
        <v>1</v>
      </c>
    </row>
    <row r="580" s="75" customFormat="1" spans="1:5">
      <c r="A580" s="75" t="s">
        <v>514</v>
      </c>
      <c r="B580" s="78">
        <v>20110163</v>
      </c>
      <c r="C580" s="78" t="s">
        <v>738</v>
      </c>
      <c r="D580" s="77" t="s">
        <v>7</v>
      </c>
      <c r="E580" s="80">
        <v>1</v>
      </c>
    </row>
    <row r="581" s="75" customFormat="1" spans="1:5">
      <c r="A581" s="75" t="s">
        <v>514</v>
      </c>
      <c r="B581" s="78">
        <v>20110164</v>
      </c>
      <c r="C581" s="78" t="s">
        <v>738</v>
      </c>
      <c r="D581" s="77" t="s">
        <v>7</v>
      </c>
      <c r="E581" s="80">
        <v>1</v>
      </c>
    </row>
    <row r="582" s="75" customFormat="1" spans="1:5">
      <c r="A582" s="75" t="s">
        <v>514</v>
      </c>
      <c r="B582" s="78">
        <v>20110165</v>
      </c>
      <c r="C582" s="78" t="s">
        <v>739</v>
      </c>
      <c r="D582" s="77" t="s">
        <v>7</v>
      </c>
      <c r="E582" s="80">
        <v>1</v>
      </c>
    </row>
    <row r="583" s="75" customFormat="1" spans="1:5">
      <c r="A583" s="75" t="s">
        <v>514</v>
      </c>
      <c r="B583" s="78">
        <v>20110167</v>
      </c>
      <c r="C583" s="78" t="s">
        <v>740</v>
      </c>
      <c r="D583" s="77" t="s">
        <v>7</v>
      </c>
      <c r="E583" s="80">
        <v>1</v>
      </c>
    </row>
    <row r="584" s="75" customFormat="1" spans="1:5">
      <c r="A584" s="75" t="s">
        <v>514</v>
      </c>
      <c r="B584" s="78">
        <v>20110168</v>
      </c>
      <c r="C584" s="78" t="s">
        <v>741</v>
      </c>
      <c r="D584" s="77" t="s">
        <v>7</v>
      </c>
      <c r="E584" s="80">
        <v>1</v>
      </c>
    </row>
    <row r="585" s="75" customFormat="1" spans="1:5">
      <c r="A585" s="75" t="s">
        <v>514</v>
      </c>
      <c r="B585" s="78">
        <v>20120907</v>
      </c>
      <c r="C585" s="78" t="s">
        <v>742</v>
      </c>
      <c r="D585" s="77" t="s">
        <v>7</v>
      </c>
      <c r="E585" s="80">
        <v>1</v>
      </c>
    </row>
    <row r="586" s="75" customFormat="1" spans="1:5">
      <c r="A586" s="75" t="s">
        <v>514</v>
      </c>
      <c r="B586" s="78">
        <v>20120917</v>
      </c>
      <c r="C586" s="78" t="s">
        <v>743</v>
      </c>
      <c r="D586" s="77" t="s">
        <v>7</v>
      </c>
      <c r="E586" s="80">
        <v>1</v>
      </c>
    </row>
    <row r="587" s="75" customFormat="1" spans="1:5">
      <c r="A587" s="75" t="s">
        <v>514</v>
      </c>
      <c r="B587" s="78">
        <v>20120925</v>
      </c>
      <c r="C587" s="78" t="s">
        <v>744</v>
      </c>
      <c r="D587" s="77" t="s">
        <v>7</v>
      </c>
      <c r="E587" s="80">
        <v>1</v>
      </c>
    </row>
    <row r="588" s="75" customFormat="1" spans="1:5">
      <c r="A588" s="75" t="s">
        <v>514</v>
      </c>
      <c r="B588" s="78">
        <v>20120918</v>
      </c>
      <c r="C588" s="78" t="s">
        <v>745</v>
      </c>
      <c r="D588" s="77" t="s">
        <v>7</v>
      </c>
      <c r="E588" s="80">
        <v>1</v>
      </c>
    </row>
    <row r="589" s="75" customFormat="1" spans="1:5">
      <c r="A589" s="75" t="s">
        <v>514</v>
      </c>
      <c r="B589" s="78">
        <v>20120919</v>
      </c>
      <c r="C589" s="78" t="s">
        <v>745</v>
      </c>
      <c r="D589" s="77" t="s">
        <v>7</v>
      </c>
      <c r="E589" s="80">
        <v>1</v>
      </c>
    </row>
    <row r="590" s="75" customFormat="1" spans="1:5">
      <c r="A590" s="75" t="s">
        <v>514</v>
      </c>
      <c r="B590" s="78">
        <v>20110172</v>
      </c>
      <c r="C590" s="78" t="s">
        <v>746</v>
      </c>
      <c r="D590" s="77" t="s">
        <v>7</v>
      </c>
      <c r="E590" s="80">
        <v>1</v>
      </c>
    </row>
    <row r="591" s="75" customFormat="1" spans="1:5">
      <c r="A591" s="75" t="s">
        <v>514</v>
      </c>
      <c r="B591" s="78">
        <v>20110173</v>
      </c>
      <c r="C591" s="78" t="s">
        <v>746</v>
      </c>
      <c r="D591" s="77" t="s">
        <v>7</v>
      </c>
      <c r="E591" s="80">
        <v>1</v>
      </c>
    </row>
    <row r="592" s="75" customFormat="1" spans="1:5">
      <c r="A592" s="75" t="s">
        <v>514</v>
      </c>
      <c r="B592" s="78">
        <v>20110174</v>
      </c>
      <c r="C592" s="78" t="s">
        <v>746</v>
      </c>
      <c r="D592" s="77" t="s">
        <v>7</v>
      </c>
      <c r="E592" s="80">
        <v>1</v>
      </c>
    </row>
    <row r="593" s="75" customFormat="1" spans="1:5">
      <c r="A593" s="75" t="s">
        <v>514</v>
      </c>
      <c r="B593" s="78">
        <v>20110175</v>
      </c>
      <c r="C593" s="78" t="s">
        <v>746</v>
      </c>
      <c r="D593" s="77" t="s">
        <v>7</v>
      </c>
      <c r="E593" s="80">
        <v>1</v>
      </c>
    </row>
    <row r="594" s="76" customFormat="1" ht="15" customHeight="1" spans="1:5">
      <c r="A594" s="75" t="s">
        <v>514</v>
      </c>
      <c r="B594" s="78"/>
      <c r="C594" s="78" t="s">
        <v>234</v>
      </c>
      <c r="D594" s="78" t="s">
        <v>7</v>
      </c>
      <c r="E594" s="80">
        <v>1</v>
      </c>
    </row>
    <row r="595" s="76" customFormat="1" spans="1:5">
      <c r="A595" s="75" t="s">
        <v>514</v>
      </c>
      <c r="B595" s="78"/>
      <c r="C595" s="78" t="s">
        <v>234</v>
      </c>
      <c r="D595" s="78" t="s">
        <v>7</v>
      </c>
      <c r="E595" s="80">
        <v>1</v>
      </c>
    </row>
  </sheetData>
  <autoFilter xmlns:etc="http://www.wps.cn/officeDocument/2017/etCustomData" ref="B1:E595" etc:filterBottomFollowUsedRange="0">
    <extLst/>
  </autoFilter>
  <conditionalFormatting sqref="B281:B300">
    <cfRule type="duplicateValues" dxfId="0" priority="4"/>
  </conditionalFormatting>
  <conditionalFormatting sqref="B434:B438">
    <cfRule type="duplicateValues" dxfId="0" priority="3"/>
  </conditionalFormatting>
  <conditionalFormatting sqref="B590:B593">
    <cfRule type="duplicateValues" dxfId="0" priority="2"/>
  </conditionalFormatting>
  <dataValidations count="1">
    <dataValidation type="list" allowBlank="1" showInputMessage="1" showErrorMessage="1" sqref="D594:D595">
      <formula1>"闲置,已报废,待报废,老化,良好"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2"/>
  <sheetViews>
    <sheetView topLeftCell="B100" workbookViewId="0">
      <selection activeCell="B1363" sqref="$A1363:$XFD1363"/>
    </sheetView>
  </sheetViews>
  <sheetFormatPr defaultColWidth="9" defaultRowHeight="13.5" outlineLevelCol="7"/>
  <cols>
    <col min="1" max="1" width="37.725" style="40" customWidth="1"/>
    <col min="2" max="2" width="22.9083333333333" style="39" customWidth="1"/>
    <col min="3" max="3" width="9.375" style="40" customWidth="1"/>
    <col min="4" max="4" width="15.5" style="40" customWidth="1"/>
    <col min="5" max="5" width="15" style="40" customWidth="1"/>
    <col min="6" max="6" width="12.9083333333333" style="40" customWidth="1"/>
    <col min="7" max="7" width="16.9083333333333" style="40" customWidth="1"/>
    <col min="8" max="254" width="9" style="40"/>
    <col min="255" max="255" width="33.625" style="40" customWidth="1"/>
    <col min="256" max="256" width="9.625" style="40" customWidth="1"/>
    <col min="257" max="257" width="27.5" style="40" customWidth="1"/>
    <col min="258" max="258" width="9.375" style="40" customWidth="1"/>
    <col min="259" max="259" width="15.5" style="40" customWidth="1"/>
    <col min="260" max="260" width="21" style="40" customWidth="1"/>
    <col min="261" max="261" width="15" style="40" customWidth="1"/>
    <col min="262" max="262" width="17.125" style="40" customWidth="1"/>
    <col min="263" max="510" width="9" style="40"/>
    <col min="511" max="511" width="33.625" style="40" customWidth="1"/>
    <col min="512" max="512" width="9.625" style="40" customWidth="1"/>
    <col min="513" max="513" width="27.5" style="40" customWidth="1"/>
    <col min="514" max="514" width="9.375" style="40" customWidth="1"/>
    <col min="515" max="515" width="15.5" style="40" customWidth="1"/>
    <col min="516" max="516" width="21" style="40" customWidth="1"/>
    <col min="517" max="517" width="15" style="40" customWidth="1"/>
    <col min="518" max="518" width="17.125" style="40" customWidth="1"/>
    <col min="519" max="766" width="9" style="40"/>
    <col min="767" max="767" width="33.625" style="40" customWidth="1"/>
    <col min="768" max="768" width="9.625" style="40" customWidth="1"/>
    <col min="769" max="769" width="27.5" style="40" customWidth="1"/>
    <col min="770" max="770" width="9.375" style="40" customWidth="1"/>
    <col min="771" max="771" width="15.5" style="40" customWidth="1"/>
    <col min="772" max="772" width="21" style="40" customWidth="1"/>
    <col min="773" max="773" width="15" style="40" customWidth="1"/>
    <col min="774" max="774" width="17.125" style="40" customWidth="1"/>
    <col min="775" max="1022" width="9" style="40"/>
    <col min="1023" max="1023" width="33.625" style="40" customWidth="1"/>
    <col min="1024" max="1024" width="9.625" style="40" customWidth="1"/>
    <col min="1025" max="1025" width="27.5" style="40" customWidth="1"/>
    <col min="1026" max="1026" width="9.375" style="40" customWidth="1"/>
    <col min="1027" max="1027" width="15.5" style="40" customWidth="1"/>
    <col min="1028" max="1028" width="21" style="40" customWidth="1"/>
    <col min="1029" max="1029" width="15" style="40" customWidth="1"/>
    <col min="1030" max="1030" width="17.125" style="40" customWidth="1"/>
    <col min="1031" max="1278" width="9" style="40"/>
    <col min="1279" max="1279" width="33.625" style="40" customWidth="1"/>
    <col min="1280" max="1280" width="9.625" style="40" customWidth="1"/>
    <col min="1281" max="1281" width="27.5" style="40" customWidth="1"/>
    <col min="1282" max="1282" width="9.375" style="40" customWidth="1"/>
    <col min="1283" max="1283" width="15.5" style="40" customWidth="1"/>
    <col min="1284" max="1284" width="21" style="40" customWidth="1"/>
    <col min="1285" max="1285" width="15" style="40" customWidth="1"/>
    <col min="1286" max="1286" width="17.125" style="40" customWidth="1"/>
    <col min="1287" max="1534" width="9" style="40"/>
    <col min="1535" max="1535" width="33.625" style="40" customWidth="1"/>
    <col min="1536" max="1536" width="9.625" style="40" customWidth="1"/>
    <col min="1537" max="1537" width="27.5" style="40" customWidth="1"/>
    <col min="1538" max="1538" width="9.375" style="40" customWidth="1"/>
    <col min="1539" max="1539" width="15.5" style="40" customWidth="1"/>
    <col min="1540" max="1540" width="21" style="40" customWidth="1"/>
    <col min="1541" max="1541" width="15" style="40" customWidth="1"/>
    <col min="1542" max="1542" width="17.125" style="40" customWidth="1"/>
    <col min="1543" max="1790" width="9" style="40"/>
    <col min="1791" max="1791" width="33.625" style="40" customWidth="1"/>
    <col min="1792" max="1792" width="9.625" style="40" customWidth="1"/>
    <col min="1793" max="1793" width="27.5" style="40" customWidth="1"/>
    <col min="1794" max="1794" width="9.375" style="40" customWidth="1"/>
    <col min="1795" max="1795" width="15.5" style="40" customWidth="1"/>
    <col min="1796" max="1796" width="21" style="40" customWidth="1"/>
    <col min="1797" max="1797" width="15" style="40" customWidth="1"/>
    <col min="1798" max="1798" width="17.125" style="40" customWidth="1"/>
    <col min="1799" max="2046" width="9" style="40"/>
    <col min="2047" max="2047" width="33.625" style="40" customWidth="1"/>
    <col min="2048" max="2048" width="9.625" style="40" customWidth="1"/>
    <col min="2049" max="2049" width="27.5" style="40" customWidth="1"/>
    <col min="2050" max="2050" width="9.375" style="40" customWidth="1"/>
    <col min="2051" max="2051" width="15.5" style="40" customWidth="1"/>
    <col min="2052" max="2052" width="21" style="40" customWidth="1"/>
    <col min="2053" max="2053" width="15" style="40" customWidth="1"/>
    <col min="2054" max="2054" width="17.125" style="40" customWidth="1"/>
    <col min="2055" max="2302" width="9" style="40"/>
    <col min="2303" max="2303" width="33.625" style="40" customWidth="1"/>
    <col min="2304" max="2304" width="9.625" style="40" customWidth="1"/>
    <col min="2305" max="2305" width="27.5" style="40" customWidth="1"/>
    <col min="2306" max="2306" width="9.375" style="40" customWidth="1"/>
    <col min="2307" max="2307" width="15.5" style="40" customWidth="1"/>
    <col min="2308" max="2308" width="21" style="40" customWidth="1"/>
    <col min="2309" max="2309" width="15" style="40" customWidth="1"/>
    <col min="2310" max="2310" width="17.125" style="40" customWidth="1"/>
    <col min="2311" max="2558" width="9" style="40"/>
    <col min="2559" max="2559" width="33.625" style="40" customWidth="1"/>
    <col min="2560" max="2560" width="9.625" style="40" customWidth="1"/>
    <col min="2561" max="2561" width="27.5" style="40" customWidth="1"/>
    <col min="2562" max="2562" width="9.375" style="40" customWidth="1"/>
    <col min="2563" max="2563" width="15.5" style="40" customWidth="1"/>
    <col min="2564" max="2564" width="21" style="40" customWidth="1"/>
    <col min="2565" max="2565" width="15" style="40" customWidth="1"/>
    <col min="2566" max="2566" width="17.125" style="40" customWidth="1"/>
    <col min="2567" max="2814" width="9" style="40"/>
    <col min="2815" max="2815" width="33.625" style="40" customWidth="1"/>
    <col min="2816" max="2816" width="9.625" style="40" customWidth="1"/>
    <col min="2817" max="2817" width="27.5" style="40" customWidth="1"/>
    <col min="2818" max="2818" width="9.375" style="40" customWidth="1"/>
    <col min="2819" max="2819" width="15.5" style="40" customWidth="1"/>
    <col min="2820" max="2820" width="21" style="40" customWidth="1"/>
    <col min="2821" max="2821" width="15" style="40" customWidth="1"/>
    <col min="2822" max="2822" width="17.125" style="40" customWidth="1"/>
    <col min="2823" max="3070" width="9" style="40"/>
    <col min="3071" max="3071" width="33.625" style="40" customWidth="1"/>
    <col min="3072" max="3072" width="9.625" style="40" customWidth="1"/>
    <col min="3073" max="3073" width="27.5" style="40" customWidth="1"/>
    <col min="3074" max="3074" width="9.375" style="40" customWidth="1"/>
    <col min="3075" max="3075" width="15.5" style="40" customWidth="1"/>
    <col min="3076" max="3076" width="21" style="40" customWidth="1"/>
    <col min="3077" max="3077" width="15" style="40" customWidth="1"/>
    <col min="3078" max="3078" width="17.125" style="40" customWidth="1"/>
    <col min="3079" max="3326" width="9" style="40"/>
    <col min="3327" max="3327" width="33.625" style="40" customWidth="1"/>
    <col min="3328" max="3328" width="9.625" style="40" customWidth="1"/>
    <col min="3329" max="3329" width="27.5" style="40" customWidth="1"/>
    <col min="3330" max="3330" width="9.375" style="40" customWidth="1"/>
    <col min="3331" max="3331" width="15.5" style="40" customWidth="1"/>
    <col min="3332" max="3332" width="21" style="40" customWidth="1"/>
    <col min="3333" max="3333" width="15" style="40" customWidth="1"/>
    <col min="3334" max="3334" width="17.125" style="40" customWidth="1"/>
    <col min="3335" max="3582" width="9" style="40"/>
    <col min="3583" max="3583" width="33.625" style="40" customWidth="1"/>
    <col min="3584" max="3584" width="9.625" style="40" customWidth="1"/>
    <col min="3585" max="3585" width="27.5" style="40" customWidth="1"/>
    <col min="3586" max="3586" width="9.375" style="40" customWidth="1"/>
    <col min="3587" max="3587" width="15.5" style="40" customWidth="1"/>
    <col min="3588" max="3588" width="21" style="40" customWidth="1"/>
    <col min="3589" max="3589" width="15" style="40" customWidth="1"/>
    <col min="3590" max="3590" width="17.125" style="40" customWidth="1"/>
    <col min="3591" max="3838" width="9" style="40"/>
    <col min="3839" max="3839" width="33.625" style="40" customWidth="1"/>
    <col min="3840" max="3840" width="9.625" style="40" customWidth="1"/>
    <col min="3841" max="3841" width="27.5" style="40" customWidth="1"/>
    <col min="3842" max="3842" width="9.375" style="40" customWidth="1"/>
    <col min="3843" max="3843" width="15.5" style="40" customWidth="1"/>
    <col min="3844" max="3844" width="21" style="40" customWidth="1"/>
    <col min="3845" max="3845" width="15" style="40" customWidth="1"/>
    <col min="3846" max="3846" width="17.125" style="40" customWidth="1"/>
    <col min="3847" max="4094" width="9" style="40"/>
    <col min="4095" max="4095" width="33.625" style="40" customWidth="1"/>
    <col min="4096" max="4096" width="9.625" style="40" customWidth="1"/>
    <col min="4097" max="4097" width="27.5" style="40" customWidth="1"/>
    <col min="4098" max="4098" width="9.375" style="40" customWidth="1"/>
    <col min="4099" max="4099" width="15.5" style="40" customWidth="1"/>
    <col min="4100" max="4100" width="21" style="40" customWidth="1"/>
    <col min="4101" max="4101" width="15" style="40" customWidth="1"/>
    <col min="4102" max="4102" width="17.125" style="40" customWidth="1"/>
    <col min="4103" max="4350" width="9" style="40"/>
    <col min="4351" max="4351" width="33.625" style="40" customWidth="1"/>
    <col min="4352" max="4352" width="9.625" style="40" customWidth="1"/>
    <col min="4353" max="4353" width="27.5" style="40" customWidth="1"/>
    <col min="4354" max="4354" width="9.375" style="40" customWidth="1"/>
    <col min="4355" max="4355" width="15.5" style="40" customWidth="1"/>
    <col min="4356" max="4356" width="21" style="40" customWidth="1"/>
    <col min="4357" max="4357" width="15" style="40" customWidth="1"/>
    <col min="4358" max="4358" width="17.125" style="40" customWidth="1"/>
    <col min="4359" max="4606" width="9" style="40"/>
    <col min="4607" max="4607" width="33.625" style="40" customWidth="1"/>
    <col min="4608" max="4608" width="9.625" style="40" customWidth="1"/>
    <col min="4609" max="4609" width="27.5" style="40" customWidth="1"/>
    <col min="4610" max="4610" width="9.375" style="40" customWidth="1"/>
    <col min="4611" max="4611" width="15.5" style="40" customWidth="1"/>
    <col min="4612" max="4612" width="21" style="40" customWidth="1"/>
    <col min="4613" max="4613" width="15" style="40" customWidth="1"/>
    <col min="4614" max="4614" width="17.125" style="40" customWidth="1"/>
    <col min="4615" max="4862" width="9" style="40"/>
    <col min="4863" max="4863" width="33.625" style="40" customWidth="1"/>
    <col min="4864" max="4864" width="9.625" style="40" customWidth="1"/>
    <col min="4865" max="4865" width="27.5" style="40" customWidth="1"/>
    <col min="4866" max="4866" width="9.375" style="40" customWidth="1"/>
    <col min="4867" max="4867" width="15.5" style="40" customWidth="1"/>
    <col min="4868" max="4868" width="21" style="40" customWidth="1"/>
    <col min="4869" max="4869" width="15" style="40" customWidth="1"/>
    <col min="4870" max="4870" width="17.125" style="40" customWidth="1"/>
    <col min="4871" max="5118" width="9" style="40"/>
    <col min="5119" max="5119" width="33.625" style="40" customWidth="1"/>
    <col min="5120" max="5120" width="9.625" style="40" customWidth="1"/>
    <col min="5121" max="5121" width="27.5" style="40" customWidth="1"/>
    <col min="5122" max="5122" width="9.375" style="40" customWidth="1"/>
    <col min="5123" max="5123" width="15.5" style="40" customWidth="1"/>
    <col min="5124" max="5124" width="21" style="40" customWidth="1"/>
    <col min="5125" max="5125" width="15" style="40" customWidth="1"/>
    <col min="5126" max="5126" width="17.125" style="40" customWidth="1"/>
    <col min="5127" max="5374" width="9" style="40"/>
    <col min="5375" max="5375" width="33.625" style="40" customWidth="1"/>
    <col min="5376" max="5376" width="9.625" style="40" customWidth="1"/>
    <col min="5377" max="5377" width="27.5" style="40" customWidth="1"/>
    <col min="5378" max="5378" width="9.375" style="40" customWidth="1"/>
    <col min="5379" max="5379" width="15.5" style="40" customWidth="1"/>
    <col min="5380" max="5380" width="21" style="40" customWidth="1"/>
    <col min="5381" max="5381" width="15" style="40" customWidth="1"/>
    <col min="5382" max="5382" width="17.125" style="40" customWidth="1"/>
    <col min="5383" max="5630" width="9" style="40"/>
    <col min="5631" max="5631" width="33.625" style="40" customWidth="1"/>
    <col min="5632" max="5632" width="9.625" style="40" customWidth="1"/>
    <col min="5633" max="5633" width="27.5" style="40" customWidth="1"/>
    <col min="5634" max="5634" width="9.375" style="40" customWidth="1"/>
    <col min="5635" max="5635" width="15.5" style="40" customWidth="1"/>
    <col min="5636" max="5636" width="21" style="40" customWidth="1"/>
    <col min="5637" max="5637" width="15" style="40" customWidth="1"/>
    <col min="5638" max="5638" width="17.125" style="40" customWidth="1"/>
    <col min="5639" max="5886" width="9" style="40"/>
    <col min="5887" max="5887" width="33.625" style="40" customWidth="1"/>
    <col min="5888" max="5888" width="9.625" style="40" customWidth="1"/>
    <col min="5889" max="5889" width="27.5" style="40" customWidth="1"/>
    <col min="5890" max="5890" width="9.375" style="40" customWidth="1"/>
    <col min="5891" max="5891" width="15.5" style="40" customWidth="1"/>
    <col min="5892" max="5892" width="21" style="40" customWidth="1"/>
    <col min="5893" max="5893" width="15" style="40" customWidth="1"/>
    <col min="5894" max="5894" width="17.125" style="40" customWidth="1"/>
    <col min="5895" max="6142" width="9" style="40"/>
    <col min="6143" max="6143" width="33.625" style="40" customWidth="1"/>
    <col min="6144" max="6144" width="9.625" style="40" customWidth="1"/>
    <col min="6145" max="6145" width="27.5" style="40" customWidth="1"/>
    <col min="6146" max="6146" width="9.375" style="40" customWidth="1"/>
    <col min="6147" max="6147" width="15.5" style="40" customWidth="1"/>
    <col min="6148" max="6148" width="21" style="40" customWidth="1"/>
    <col min="6149" max="6149" width="15" style="40" customWidth="1"/>
    <col min="6150" max="6150" width="17.125" style="40" customWidth="1"/>
    <col min="6151" max="6398" width="9" style="40"/>
    <col min="6399" max="6399" width="33.625" style="40" customWidth="1"/>
    <col min="6400" max="6400" width="9.625" style="40" customWidth="1"/>
    <col min="6401" max="6401" width="27.5" style="40" customWidth="1"/>
    <col min="6402" max="6402" width="9.375" style="40" customWidth="1"/>
    <col min="6403" max="6403" width="15.5" style="40" customWidth="1"/>
    <col min="6404" max="6404" width="21" style="40" customWidth="1"/>
    <col min="6405" max="6405" width="15" style="40" customWidth="1"/>
    <col min="6406" max="6406" width="17.125" style="40" customWidth="1"/>
    <col min="6407" max="6654" width="9" style="40"/>
    <col min="6655" max="6655" width="33.625" style="40" customWidth="1"/>
    <col min="6656" max="6656" width="9.625" style="40" customWidth="1"/>
    <col min="6657" max="6657" width="27.5" style="40" customWidth="1"/>
    <col min="6658" max="6658" width="9.375" style="40" customWidth="1"/>
    <col min="6659" max="6659" width="15.5" style="40" customWidth="1"/>
    <col min="6660" max="6660" width="21" style="40" customWidth="1"/>
    <col min="6661" max="6661" width="15" style="40" customWidth="1"/>
    <col min="6662" max="6662" width="17.125" style="40" customWidth="1"/>
    <col min="6663" max="6910" width="9" style="40"/>
    <col min="6911" max="6911" width="33.625" style="40" customWidth="1"/>
    <col min="6912" max="6912" width="9.625" style="40" customWidth="1"/>
    <col min="6913" max="6913" width="27.5" style="40" customWidth="1"/>
    <col min="6914" max="6914" width="9.375" style="40" customWidth="1"/>
    <col min="6915" max="6915" width="15.5" style="40" customWidth="1"/>
    <col min="6916" max="6916" width="21" style="40" customWidth="1"/>
    <col min="6917" max="6917" width="15" style="40" customWidth="1"/>
    <col min="6918" max="6918" width="17.125" style="40" customWidth="1"/>
    <col min="6919" max="7166" width="9" style="40"/>
    <col min="7167" max="7167" width="33.625" style="40" customWidth="1"/>
    <col min="7168" max="7168" width="9.625" style="40" customWidth="1"/>
    <col min="7169" max="7169" width="27.5" style="40" customWidth="1"/>
    <col min="7170" max="7170" width="9.375" style="40" customWidth="1"/>
    <col min="7171" max="7171" width="15.5" style="40" customWidth="1"/>
    <col min="7172" max="7172" width="21" style="40" customWidth="1"/>
    <col min="7173" max="7173" width="15" style="40" customWidth="1"/>
    <col min="7174" max="7174" width="17.125" style="40" customWidth="1"/>
    <col min="7175" max="7422" width="9" style="40"/>
    <col min="7423" max="7423" width="33.625" style="40" customWidth="1"/>
    <col min="7424" max="7424" width="9.625" style="40" customWidth="1"/>
    <col min="7425" max="7425" width="27.5" style="40" customWidth="1"/>
    <col min="7426" max="7426" width="9.375" style="40" customWidth="1"/>
    <col min="7427" max="7427" width="15.5" style="40" customWidth="1"/>
    <col min="7428" max="7428" width="21" style="40" customWidth="1"/>
    <col min="7429" max="7429" width="15" style="40" customWidth="1"/>
    <col min="7430" max="7430" width="17.125" style="40" customWidth="1"/>
    <col min="7431" max="7678" width="9" style="40"/>
    <col min="7679" max="7679" width="33.625" style="40" customWidth="1"/>
    <col min="7680" max="7680" width="9.625" style="40" customWidth="1"/>
    <col min="7681" max="7681" width="27.5" style="40" customWidth="1"/>
    <col min="7682" max="7682" width="9.375" style="40" customWidth="1"/>
    <col min="7683" max="7683" width="15.5" style="40" customWidth="1"/>
    <col min="7684" max="7684" width="21" style="40" customWidth="1"/>
    <col min="7685" max="7685" width="15" style="40" customWidth="1"/>
    <col min="7686" max="7686" width="17.125" style="40" customWidth="1"/>
    <col min="7687" max="7934" width="9" style="40"/>
    <col min="7935" max="7935" width="33.625" style="40" customWidth="1"/>
    <col min="7936" max="7936" width="9.625" style="40" customWidth="1"/>
    <col min="7937" max="7937" width="27.5" style="40" customWidth="1"/>
    <col min="7938" max="7938" width="9.375" style="40" customWidth="1"/>
    <col min="7939" max="7939" width="15.5" style="40" customWidth="1"/>
    <col min="7940" max="7940" width="21" style="40" customWidth="1"/>
    <col min="7941" max="7941" width="15" style="40" customWidth="1"/>
    <col min="7942" max="7942" width="17.125" style="40" customWidth="1"/>
    <col min="7943" max="8190" width="9" style="40"/>
    <col min="8191" max="8191" width="33.625" style="40" customWidth="1"/>
    <col min="8192" max="8192" width="9.625" style="40" customWidth="1"/>
    <col min="8193" max="8193" width="27.5" style="40" customWidth="1"/>
    <col min="8194" max="8194" width="9.375" style="40" customWidth="1"/>
    <col min="8195" max="8195" width="15.5" style="40" customWidth="1"/>
    <col min="8196" max="8196" width="21" style="40" customWidth="1"/>
    <col min="8197" max="8197" width="15" style="40" customWidth="1"/>
    <col min="8198" max="8198" width="17.125" style="40" customWidth="1"/>
    <col min="8199" max="8446" width="9" style="40"/>
    <col min="8447" max="8447" width="33.625" style="40" customWidth="1"/>
    <col min="8448" max="8448" width="9.625" style="40" customWidth="1"/>
    <col min="8449" max="8449" width="27.5" style="40" customWidth="1"/>
    <col min="8450" max="8450" width="9.375" style="40" customWidth="1"/>
    <col min="8451" max="8451" width="15.5" style="40" customWidth="1"/>
    <col min="8452" max="8452" width="21" style="40" customWidth="1"/>
    <col min="8453" max="8453" width="15" style="40" customWidth="1"/>
    <col min="8454" max="8454" width="17.125" style="40" customWidth="1"/>
    <col min="8455" max="8702" width="9" style="40"/>
    <col min="8703" max="8703" width="33.625" style="40" customWidth="1"/>
    <col min="8704" max="8704" width="9.625" style="40" customWidth="1"/>
    <col min="8705" max="8705" width="27.5" style="40" customWidth="1"/>
    <col min="8706" max="8706" width="9.375" style="40" customWidth="1"/>
    <col min="8707" max="8707" width="15.5" style="40" customWidth="1"/>
    <col min="8708" max="8708" width="21" style="40" customWidth="1"/>
    <col min="8709" max="8709" width="15" style="40" customWidth="1"/>
    <col min="8710" max="8710" width="17.125" style="40" customWidth="1"/>
    <col min="8711" max="8958" width="9" style="40"/>
    <col min="8959" max="8959" width="33.625" style="40" customWidth="1"/>
    <col min="8960" max="8960" width="9.625" style="40" customWidth="1"/>
    <col min="8961" max="8961" width="27.5" style="40" customWidth="1"/>
    <col min="8962" max="8962" width="9.375" style="40" customWidth="1"/>
    <col min="8963" max="8963" width="15.5" style="40" customWidth="1"/>
    <col min="8964" max="8964" width="21" style="40" customWidth="1"/>
    <col min="8965" max="8965" width="15" style="40" customWidth="1"/>
    <col min="8966" max="8966" width="17.125" style="40" customWidth="1"/>
    <col min="8967" max="9214" width="9" style="40"/>
    <col min="9215" max="9215" width="33.625" style="40" customWidth="1"/>
    <col min="9216" max="9216" width="9.625" style="40" customWidth="1"/>
    <col min="9217" max="9217" width="27.5" style="40" customWidth="1"/>
    <col min="9218" max="9218" width="9.375" style="40" customWidth="1"/>
    <col min="9219" max="9219" width="15.5" style="40" customWidth="1"/>
    <col min="9220" max="9220" width="21" style="40" customWidth="1"/>
    <col min="9221" max="9221" width="15" style="40" customWidth="1"/>
    <col min="9222" max="9222" width="17.125" style="40" customWidth="1"/>
    <col min="9223" max="9470" width="9" style="40"/>
    <col min="9471" max="9471" width="33.625" style="40" customWidth="1"/>
    <col min="9472" max="9472" width="9.625" style="40" customWidth="1"/>
    <col min="9473" max="9473" width="27.5" style="40" customWidth="1"/>
    <col min="9474" max="9474" width="9.375" style="40" customWidth="1"/>
    <col min="9475" max="9475" width="15.5" style="40" customWidth="1"/>
    <col min="9476" max="9476" width="21" style="40" customWidth="1"/>
    <col min="9477" max="9477" width="15" style="40" customWidth="1"/>
    <col min="9478" max="9478" width="17.125" style="40" customWidth="1"/>
    <col min="9479" max="9726" width="9" style="40"/>
    <col min="9727" max="9727" width="33.625" style="40" customWidth="1"/>
    <col min="9728" max="9728" width="9.625" style="40" customWidth="1"/>
    <col min="9729" max="9729" width="27.5" style="40" customWidth="1"/>
    <col min="9730" max="9730" width="9.375" style="40" customWidth="1"/>
    <col min="9731" max="9731" width="15.5" style="40" customWidth="1"/>
    <col min="9732" max="9732" width="21" style="40" customWidth="1"/>
    <col min="9733" max="9733" width="15" style="40" customWidth="1"/>
    <col min="9734" max="9734" width="17.125" style="40" customWidth="1"/>
    <col min="9735" max="9982" width="9" style="40"/>
    <col min="9983" max="9983" width="33.625" style="40" customWidth="1"/>
    <col min="9984" max="9984" width="9.625" style="40" customWidth="1"/>
    <col min="9985" max="9985" width="27.5" style="40" customWidth="1"/>
    <col min="9986" max="9986" width="9.375" style="40" customWidth="1"/>
    <col min="9987" max="9987" width="15.5" style="40" customWidth="1"/>
    <col min="9988" max="9988" width="21" style="40" customWidth="1"/>
    <col min="9989" max="9989" width="15" style="40" customWidth="1"/>
    <col min="9990" max="9990" width="17.125" style="40" customWidth="1"/>
    <col min="9991" max="10238" width="9" style="40"/>
    <col min="10239" max="10239" width="33.625" style="40" customWidth="1"/>
    <col min="10240" max="10240" width="9.625" style="40" customWidth="1"/>
    <col min="10241" max="10241" width="27.5" style="40" customWidth="1"/>
    <col min="10242" max="10242" width="9.375" style="40" customWidth="1"/>
    <col min="10243" max="10243" width="15.5" style="40" customWidth="1"/>
    <col min="10244" max="10244" width="21" style="40" customWidth="1"/>
    <col min="10245" max="10245" width="15" style="40" customWidth="1"/>
    <col min="10246" max="10246" width="17.125" style="40" customWidth="1"/>
    <col min="10247" max="10494" width="9" style="40"/>
    <col min="10495" max="10495" width="33.625" style="40" customWidth="1"/>
    <col min="10496" max="10496" width="9.625" style="40" customWidth="1"/>
    <col min="10497" max="10497" width="27.5" style="40" customWidth="1"/>
    <col min="10498" max="10498" width="9.375" style="40" customWidth="1"/>
    <col min="10499" max="10499" width="15.5" style="40" customWidth="1"/>
    <col min="10500" max="10500" width="21" style="40" customWidth="1"/>
    <col min="10501" max="10501" width="15" style="40" customWidth="1"/>
    <col min="10502" max="10502" width="17.125" style="40" customWidth="1"/>
    <col min="10503" max="10750" width="9" style="40"/>
    <col min="10751" max="10751" width="33.625" style="40" customWidth="1"/>
    <col min="10752" max="10752" width="9.625" style="40" customWidth="1"/>
    <col min="10753" max="10753" width="27.5" style="40" customWidth="1"/>
    <col min="10754" max="10754" width="9.375" style="40" customWidth="1"/>
    <col min="10755" max="10755" width="15.5" style="40" customWidth="1"/>
    <col min="10756" max="10756" width="21" style="40" customWidth="1"/>
    <col min="10757" max="10757" width="15" style="40" customWidth="1"/>
    <col min="10758" max="10758" width="17.125" style="40" customWidth="1"/>
    <col min="10759" max="11006" width="9" style="40"/>
    <col min="11007" max="11007" width="33.625" style="40" customWidth="1"/>
    <col min="11008" max="11008" width="9.625" style="40" customWidth="1"/>
    <col min="11009" max="11009" width="27.5" style="40" customWidth="1"/>
    <col min="11010" max="11010" width="9.375" style="40" customWidth="1"/>
    <col min="11011" max="11011" width="15.5" style="40" customWidth="1"/>
    <col min="11012" max="11012" width="21" style="40" customWidth="1"/>
    <col min="11013" max="11013" width="15" style="40" customWidth="1"/>
    <col min="11014" max="11014" width="17.125" style="40" customWidth="1"/>
    <col min="11015" max="11262" width="9" style="40"/>
    <col min="11263" max="11263" width="33.625" style="40" customWidth="1"/>
    <col min="11264" max="11264" width="9.625" style="40" customWidth="1"/>
    <col min="11265" max="11265" width="27.5" style="40" customWidth="1"/>
    <col min="11266" max="11266" width="9.375" style="40" customWidth="1"/>
    <col min="11267" max="11267" width="15.5" style="40" customWidth="1"/>
    <col min="11268" max="11268" width="21" style="40" customWidth="1"/>
    <col min="11269" max="11269" width="15" style="40" customWidth="1"/>
    <col min="11270" max="11270" width="17.125" style="40" customWidth="1"/>
    <col min="11271" max="11518" width="9" style="40"/>
    <col min="11519" max="11519" width="33.625" style="40" customWidth="1"/>
    <col min="11520" max="11520" width="9.625" style="40" customWidth="1"/>
    <col min="11521" max="11521" width="27.5" style="40" customWidth="1"/>
    <col min="11522" max="11522" width="9.375" style="40" customWidth="1"/>
    <col min="11523" max="11523" width="15.5" style="40" customWidth="1"/>
    <col min="11524" max="11524" width="21" style="40" customWidth="1"/>
    <col min="11525" max="11525" width="15" style="40" customWidth="1"/>
    <col min="11526" max="11526" width="17.125" style="40" customWidth="1"/>
    <col min="11527" max="11774" width="9" style="40"/>
    <col min="11775" max="11775" width="33.625" style="40" customWidth="1"/>
    <col min="11776" max="11776" width="9.625" style="40" customWidth="1"/>
    <col min="11777" max="11777" width="27.5" style="40" customWidth="1"/>
    <col min="11778" max="11778" width="9.375" style="40" customWidth="1"/>
    <col min="11779" max="11779" width="15.5" style="40" customWidth="1"/>
    <col min="11780" max="11780" width="21" style="40" customWidth="1"/>
    <col min="11781" max="11781" width="15" style="40" customWidth="1"/>
    <col min="11782" max="11782" width="17.125" style="40" customWidth="1"/>
    <col min="11783" max="12030" width="9" style="40"/>
    <col min="12031" max="12031" width="33.625" style="40" customWidth="1"/>
    <col min="12032" max="12032" width="9.625" style="40" customWidth="1"/>
    <col min="12033" max="12033" width="27.5" style="40" customWidth="1"/>
    <col min="12034" max="12034" width="9.375" style="40" customWidth="1"/>
    <col min="12035" max="12035" width="15.5" style="40" customWidth="1"/>
    <col min="12036" max="12036" width="21" style="40" customWidth="1"/>
    <col min="12037" max="12037" width="15" style="40" customWidth="1"/>
    <col min="12038" max="12038" width="17.125" style="40" customWidth="1"/>
    <col min="12039" max="12286" width="9" style="40"/>
    <col min="12287" max="12287" width="33.625" style="40" customWidth="1"/>
    <col min="12288" max="12288" width="9.625" style="40" customWidth="1"/>
    <col min="12289" max="12289" width="27.5" style="40" customWidth="1"/>
    <col min="12290" max="12290" width="9.375" style="40" customWidth="1"/>
    <col min="12291" max="12291" width="15.5" style="40" customWidth="1"/>
    <col min="12292" max="12292" width="21" style="40" customWidth="1"/>
    <col min="12293" max="12293" width="15" style="40" customWidth="1"/>
    <col min="12294" max="12294" width="17.125" style="40" customWidth="1"/>
    <col min="12295" max="12542" width="9" style="40"/>
    <col min="12543" max="12543" width="33.625" style="40" customWidth="1"/>
    <col min="12544" max="12544" width="9.625" style="40" customWidth="1"/>
    <col min="12545" max="12545" width="27.5" style="40" customWidth="1"/>
    <col min="12546" max="12546" width="9.375" style="40" customWidth="1"/>
    <col min="12547" max="12547" width="15.5" style="40" customWidth="1"/>
    <col min="12548" max="12548" width="21" style="40" customWidth="1"/>
    <col min="12549" max="12549" width="15" style="40" customWidth="1"/>
    <col min="12550" max="12550" width="17.125" style="40" customWidth="1"/>
    <col min="12551" max="12798" width="9" style="40"/>
    <col min="12799" max="12799" width="33.625" style="40" customWidth="1"/>
    <col min="12800" max="12800" width="9.625" style="40" customWidth="1"/>
    <col min="12801" max="12801" width="27.5" style="40" customWidth="1"/>
    <col min="12802" max="12802" width="9.375" style="40" customWidth="1"/>
    <col min="12803" max="12803" width="15.5" style="40" customWidth="1"/>
    <col min="12804" max="12804" width="21" style="40" customWidth="1"/>
    <col min="12805" max="12805" width="15" style="40" customWidth="1"/>
    <col min="12806" max="12806" width="17.125" style="40" customWidth="1"/>
    <col min="12807" max="13054" width="9" style="40"/>
    <col min="13055" max="13055" width="33.625" style="40" customWidth="1"/>
    <col min="13056" max="13056" width="9.625" style="40" customWidth="1"/>
    <col min="13057" max="13057" width="27.5" style="40" customWidth="1"/>
    <col min="13058" max="13058" width="9.375" style="40" customWidth="1"/>
    <col min="13059" max="13059" width="15.5" style="40" customWidth="1"/>
    <col min="13060" max="13060" width="21" style="40" customWidth="1"/>
    <col min="13061" max="13061" width="15" style="40" customWidth="1"/>
    <col min="13062" max="13062" width="17.125" style="40" customWidth="1"/>
    <col min="13063" max="13310" width="9" style="40"/>
    <col min="13311" max="13311" width="33.625" style="40" customWidth="1"/>
    <col min="13312" max="13312" width="9.625" style="40" customWidth="1"/>
    <col min="13313" max="13313" width="27.5" style="40" customWidth="1"/>
    <col min="13314" max="13314" width="9.375" style="40" customWidth="1"/>
    <col min="13315" max="13315" width="15.5" style="40" customWidth="1"/>
    <col min="13316" max="13316" width="21" style="40" customWidth="1"/>
    <col min="13317" max="13317" width="15" style="40" customWidth="1"/>
    <col min="13318" max="13318" width="17.125" style="40" customWidth="1"/>
    <col min="13319" max="13566" width="9" style="40"/>
    <col min="13567" max="13567" width="33.625" style="40" customWidth="1"/>
    <col min="13568" max="13568" width="9.625" style="40" customWidth="1"/>
    <col min="13569" max="13569" width="27.5" style="40" customWidth="1"/>
    <col min="13570" max="13570" width="9.375" style="40" customWidth="1"/>
    <col min="13571" max="13571" width="15.5" style="40" customWidth="1"/>
    <col min="13572" max="13572" width="21" style="40" customWidth="1"/>
    <col min="13573" max="13573" width="15" style="40" customWidth="1"/>
    <col min="13574" max="13574" width="17.125" style="40" customWidth="1"/>
    <col min="13575" max="13822" width="9" style="40"/>
    <col min="13823" max="13823" width="33.625" style="40" customWidth="1"/>
    <col min="13824" max="13824" width="9.625" style="40" customWidth="1"/>
    <col min="13825" max="13825" width="27.5" style="40" customWidth="1"/>
    <col min="13826" max="13826" width="9.375" style="40" customWidth="1"/>
    <col min="13827" max="13827" width="15.5" style="40" customWidth="1"/>
    <col min="13828" max="13828" width="21" style="40" customWidth="1"/>
    <col min="13829" max="13829" width="15" style="40" customWidth="1"/>
    <col min="13830" max="13830" width="17.125" style="40" customWidth="1"/>
    <col min="13831" max="14078" width="9" style="40"/>
    <col min="14079" max="14079" width="33.625" style="40" customWidth="1"/>
    <col min="14080" max="14080" width="9.625" style="40" customWidth="1"/>
    <col min="14081" max="14081" width="27.5" style="40" customWidth="1"/>
    <col min="14082" max="14082" width="9.375" style="40" customWidth="1"/>
    <col min="14083" max="14083" width="15.5" style="40" customWidth="1"/>
    <col min="14084" max="14084" width="21" style="40" customWidth="1"/>
    <col min="14085" max="14085" width="15" style="40" customWidth="1"/>
    <col min="14086" max="14086" width="17.125" style="40" customWidth="1"/>
    <col min="14087" max="14334" width="9" style="40"/>
    <col min="14335" max="14335" width="33.625" style="40" customWidth="1"/>
    <col min="14336" max="14336" width="9.625" style="40" customWidth="1"/>
    <col min="14337" max="14337" width="27.5" style="40" customWidth="1"/>
    <col min="14338" max="14338" width="9.375" style="40" customWidth="1"/>
    <col min="14339" max="14339" width="15.5" style="40" customWidth="1"/>
    <col min="14340" max="14340" width="21" style="40" customWidth="1"/>
    <col min="14341" max="14341" width="15" style="40" customWidth="1"/>
    <col min="14342" max="14342" width="17.125" style="40" customWidth="1"/>
    <col min="14343" max="14590" width="9" style="40"/>
    <col min="14591" max="14591" width="33.625" style="40" customWidth="1"/>
    <col min="14592" max="14592" width="9.625" style="40" customWidth="1"/>
    <col min="14593" max="14593" width="27.5" style="40" customWidth="1"/>
    <col min="14594" max="14594" width="9.375" style="40" customWidth="1"/>
    <col min="14595" max="14595" width="15.5" style="40" customWidth="1"/>
    <col min="14596" max="14596" width="21" style="40" customWidth="1"/>
    <col min="14597" max="14597" width="15" style="40" customWidth="1"/>
    <col min="14598" max="14598" width="17.125" style="40" customWidth="1"/>
    <col min="14599" max="14846" width="9" style="40"/>
    <col min="14847" max="14847" width="33.625" style="40" customWidth="1"/>
    <col min="14848" max="14848" width="9.625" style="40" customWidth="1"/>
    <col min="14849" max="14849" width="27.5" style="40" customWidth="1"/>
    <col min="14850" max="14850" width="9.375" style="40" customWidth="1"/>
    <col min="14851" max="14851" width="15.5" style="40" customWidth="1"/>
    <col min="14852" max="14852" width="21" style="40" customWidth="1"/>
    <col min="14853" max="14853" width="15" style="40" customWidth="1"/>
    <col min="14854" max="14854" width="17.125" style="40" customWidth="1"/>
    <col min="14855" max="15102" width="9" style="40"/>
    <col min="15103" max="15103" width="33.625" style="40" customWidth="1"/>
    <col min="15104" max="15104" width="9.625" style="40" customWidth="1"/>
    <col min="15105" max="15105" width="27.5" style="40" customWidth="1"/>
    <col min="15106" max="15106" width="9.375" style="40" customWidth="1"/>
    <col min="15107" max="15107" width="15.5" style="40" customWidth="1"/>
    <col min="15108" max="15108" width="21" style="40" customWidth="1"/>
    <col min="15109" max="15109" width="15" style="40" customWidth="1"/>
    <col min="15110" max="15110" width="17.125" style="40" customWidth="1"/>
    <col min="15111" max="15358" width="9" style="40"/>
    <col min="15359" max="15359" width="33.625" style="40" customWidth="1"/>
    <col min="15360" max="15360" width="9.625" style="40" customWidth="1"/>
    <col min="15361" max="15361" width="27.5" style="40" customWidth="1"/>
    <col min="15362" max="15362" width="9.375" style="40" customWidth="1"/>
    <col min="15363" max="15363" width="15.5" style="40" customWidth="1"/>
    <col min="15364" max="15364" width="21" style="40" customWidth="1"/>
    <col min="15365" max="15365" width="15" style="40" customWidth="1"/>
    <col min="15366" max="15366" width="17.125" style="40" customWidth="1"/>
    <col min="15367" max="15614" width="9" style="40"/>
    <col min="15615" max="15615" width="33.625" style="40" customWidth="1"/>
    <col min="15616" max="15616" width="9.625" style="40" customWidth="1"/>
    <col min="15617" max="15617" width="27.5" style="40" customWidth="1"/>
    <col min="15618" max="15618" width="9.375" style="40" customWidth="1"/>
    <col min="15619" max="15619" width="15.5" style="40" customWidth="1"/>
    <col min="15620" max="15620" width="21" style="40" customWidth="1"/>
    <col min="15621" max="15621" width="15" style="40" customWidth="1"/>
    <col min="15622" max="15622" width="17.125" style="40" customWidth="1"/>
    <col min="15623" max="15870" width="9" style="40"/>
    <col min="15871" max="15871" width="33.625" style="40" customWidth="1"/>
    <col min="15872" max="15872" width="9.625" style="40" customWidth="1"/>
    <col min="15873" max="15873" width="27.5" style="40" customWidth="1"/>
    <col min="15874" max="15874" width="9.375" style="40" customWidth="1"/>
    <col min="15875" max="15875" width="15.5" style="40" customWidth="1"/>
    <col min="15876" max="15876" width="21" style="40" customWidth="1"/>
    <col min="15877" max="15877" width="15" style="40" customWidth="1"/>
    <col min="15878" max="15878" width="17.125" style="40" customWidth="1"/>
    <col min="15879" max="16126" width="9" style="40"/>
    <col min="16127" max="16127" width="33.625" style="40" customWidth="1"/>
    <col min="16128" max="16128" width="9.625" style="40" customWidth="1"/>
    <col min="16129" max="16129" width="27.5" style="40" customWidth="1"/>
    <col min="16130" max="16130" width="9.375" style="40" customWidth="1"/>
    <col min="16131" max="16131" width="15.5" style="40" customWidth="1"/>
    <col min="16132" max="16132" width="21" style="40" customWidth="1"/>
    <col min="16133" max="16133" width="15" style="40" customWidth="1"/>
    <col min="16134" max="16134" width="17.125" style="40" customWidth="1"/>
    <col min="16135" max="16384" width="9" style="40"/>
  </cols>
  <sheetData>
    <row r="1" spans="1:6">
      <c r="A1" s="70" t="s">
        <v>0</v>
      </c>
      <c r="B1" s="30" t="s">
        <v>0</v>
      </c>
      <c r="C1" s="71" t="s">
        <v>1</v>
      </c>
      <c r="D1" s="71" t="s">
        <v>2</v>
      </c>
      <c r="E1" s="71" t="s">
        <v>3</v>
      </c>
      <c r="F1" s="71" t="s">
        <v>4</v>
      </c>
    </row>
    <row r="2" spans="2:6">
      <c r="B2" s="39" t="s">
        <v>747</v>
      </c>
      <c r="C2" s="72">
        <v>20171649</v>
      </c>
      <c r="D2" s="72" t="s">
        <v>748</v>
      </c>
      <c r="E2" s="72" t="s">
        <v>7</v>
      </c>
      <c r="F2" s="72">
        <v>1</v>
      </c>
    </row>
    <row r="3" s="68" customFormat="1" ht="9" customHeight="1" spans="2:6">
      <c r="B3" s="39" t="s">
        <v>747</v>
      </c>
      <c r="C3" s="73">
        <v>20171650</v>
      </c>
      <c r="D3" s="73" t="s">
        <v>749</v>
      </c>
      <c r="E3" s="73" t="s">
        <v>7</v>
      </c>
      <c r="F3" s="72">
        <v>1</v>
      </c>
    </row>
    <row r="4" spans="2:6">
      <c r="B4" s="39" t="s">
        <v>747</v>
      </c>
      <c r="C4" s="72">
        <v>20171659</v>
      </c>
      <c r="D4" s="72" t="s">
        <v>35</v>
      </c>
      <c r="E4" s="72" t="s">
        <v>7</v>
      </c>
      <c r="F4" s="72">
        <v>1</v>
      </c>
    </row>
    <row r="5" spans="2:6">
      <c r="B5" s="39" t="s">
        <v>747</v>
      </c>
      <c r="C5" s="72">
        <v>20171705</v>
      </c>
      <c r="D5" s="72" t="s">
        <v>96</v>
      </c>
      <c r="E5" s="72" t="s">
        <v>7</v>
      </c>
      <c r="F5" s="72">
        <v>1</v>
      </c>
    </row>
    <row r="6" spans="2:6">
      <c r="B6" s="39" t="s">
        <v>747</v>
      </c>
      <c r="C6" s="72">
        <v>20171706</v>
      </c>
      <c r="D6" s="72" t="s">
        <v>96</v>
      </c>
      <c r="E6" s="72" t="s">
        <v>7</v>
      </c>
      <c r="F6" s="72">
        <v>1</v>
      </c>
    </row>
    <row r="7" spans="2:6">
      <c r="B7" s="39" t="s">
        <v>747</v>
      </c>
      <c r="C7" s="40">
        <v>20171707</v>
      </c>
      <c r="D7" s="40" t="s">
        <v>96</v>
      </c>
      <c r="E7" s="72" t="s">
        <v>7</v>
      </c>
      <c r="F7" s="72">
        <v>1</v>
      </c>
    </row>
    <row r="8" spans="1:6">
      <c r="A8" s="40" t="s">
        <v>750</v>
      </c>
      <c r="B8" s="39" t="s">
        <v>747</v>
      </c>
      <c r="C8" s="40">
        <v>20171708</v>
      </c>
      <c r="D8" s="40" t="s">
        <v>96</v>
      </c>
      <c r="E8" s="72" t="s">
        <v>7</v>
      </c>
      <c r="F8" s="72">
        <v>1</v>
      </c>
    </row>
    <row r="9" spans="1:6">
      <c r="A9" s="40" t="s">
        <v>750</v>
      </c>
      <c r="B9" s="39" t="s">
        <v>747</v>
      </c>
      <c r="C9" s="40">
        <v>20171709</v>
      </c>
      <c r="D9" s="40" t="s">
        <v>96</v>
      </c>
      <c r="E9" s="72" t="s">
        <v>7</v>
      </c>
      <c r="F9" s="72">
        <v>1</v>
      </c>
    </row>
    <row r="10" spans="1:6">
      <c r="A10" s="40" t="s">
        <v>750</v>
      </c>
      <c r="B10" s="39" t="s">
        <v>747</v>
      </c>
      <c r="C10" s="40">
        <v>20171710</v>
      </c>
      <c r="D10" s="40" t="s">
        <v>96</v>
      </c>
      <c r="E10" s="72" t="s">
        <v>7</v>
      </c>
      <c r="F10" s="72">
        <v>1</v>
      </c>
    </row>
    <row r="11" spans="1:6">
      <c r="A11" s="40" t="s">
        <v>750</v>
      </c>
      <c r="B11" s="39" t="s">
        <v>747</v>
      </c>
      <c r="C11" s="40">
        <v>20171711</v>
      </c>
      <c r="D11" s="40" t="s">
        <v>96</v>
      </c>
      <c r="E11" s="72" t="s">
        <v>7</v>
      </c>
      <c r="F11" s="72">
        <v>1</v>
      </c>
    </row>
    <row r="12" spans="1:6">
      <c r="A12" s="40" t="s">
        <v>750</v>
      </c>
      <c r="B12" s="39" t="s">
        <v>747</v>
      </c>
      <c r="C12" s="40">
        <v>20171712</v>
      </c>
      <c r="D12" s="40" t="s">
        <v>96</v>
      </c>
      <c r="E12" s="72" t="s">
        <v>7</v>
      </c>
      <c r="F12" s="72">
        <v>1</v>
      </c>
    </row>
    <row r="13" spans="1:6">
      <c r="A13" s="40" t="s">
        <v>750</v>
      </c>
      <c r="B13" s="39" t="s">
        <v>747</v>
      </c>
      <c r="C13" s="40">
        <v>20171714</v>
      </c>
      <c r="D13" s="40" t="s">
        <v>96</v>
      </c>
      <c r="E13" s="72" t="s">
        <v>7</v>
      </c>
      <c r="F13" s="72">
        <v>1</v>
      </c>
    </row>
    <row r="14" spans="1:6">
      <c r="A14" s="40" t="s">
        <v>750</v>
      </c>
      <c r="B14" s="39" t="s">
        <v>747</v>
      </c>
      <c r="C14" s="40">
        <v>20171715</v>
      </c>
      <c r="D14" s="40" t="s">
        <v>96</v>
      </c>
      <c r="E14" s="72" t="s">
        <v>7</v>
      </c>
      <c r="F14" s="72">
        <v>1</v>
      </c>
    </row>
    <row r="15" spans="1:6">
      <c r="A15" s="40" t="s">
        <v>750</v>
      </c>
      <c r="B15" s="39" t="s">
        <v>747</v>
      </c>
      <c r="C15" s="40">
        <v>20171716</v>
      </c>
      <c r="D15" s="40" t="s">
        <v>96</v>
      </c>
      <c r="E15" s="72" t="s">
        <v>7</v>
      </c>
      <c r="F15" s="72">
        <v>1</v>
      </c>
    </row>
    <row r="16" spans="1:6">
      <c r="A16" s="40" t="s">
        <v>750</v>
      </c>
      <c r="B16" s="39" t="s">
        <v>747</v>
      </c>
      <c r="C16" s="40">
        <v>20171717</v>
      </c>
      <c r="D16" s="40" t="s">
        <v>96</v>
      </c>
      <c r="E16" s="72" t="s">
        <v>7</v>
      </c>
      <c r="F16" s="72">
        <v>1</v>
      </c>
    </row>
    <row r="17" spans="1:6">
      <c r="A17" s="40" t="s">
        <v>750</v>
      </c>
      <c r="B17" s="39" t="s">
        <v>747</v>
      </c>
      <c r="C17" s="40">
        <v>20171718</v>
      </c>
      <c r="D17" s="40" t="s">
        <v>96</v>
      </c>
      <c r="E17" s="72" t="s">
        <v>7</v>
      </c>
      <c r="F17" s="72">
        <v>1</v>
      </c>
    </row>
    <row r="18" spans="1:6">
      <c r="A18" s="40" t="s">
        <v>750</v>
      </c>
      <c r="B18" s="39" t="s">
        <v>747</v>
      </c>
      <c r="C18" s="40">
        <v>20171719</v>
      </c>
      <c r="D18" s="40" t="s">
        <v>96</v>
      </c>
      <c r="E18" s="72" t="s">
        <v>7</v>
      </c>
      <c r="F18" s="72">
        <v>1</v>
      </c>
    </row>
    <row r="19" spans="1:6">
      <c r="A19" s="40" t="s">
        <v>750</v>
      </c>
      <c r="B19" s="39" t="s">
        <v>747</v>
      </c>
      <c r="C19" s="40">
        <v>20171720</v>
      </c>
      <c r="D19" s="40" t="s">
        <v>96</v>
      </c>
      <c r="E19" s="72" t="s">
        <v>7</v>
      </c>
      <c r="F19" s="72">
        <v>1</v>
      </c>
    </row>
    <row r="20" spans="1:6">
      <c r="A20" s="40" t="s">
        <v>750</v>
      </c>
      <c r="B20" s="39" t="s">
        <v>747</v>
      </c>
      <c r="C20" s="40">
        <v>20171721</v>
      </c>
      <c r="D20" s="40" t="s">
        <v>96</v>
      </c>
      <c r="E20" s="72" t="s">
        <v>7</v>
      </c>
      <c r="F20" s="72">
        <v>1</v>
      </c>
    </row>
    <row r="21" spans="1:6">
      <c r="A21" s="40" t="s">
        <v>750</v>
      </c>
      <c r="B21" s="39" t="s">
        <v>747</v>
      </c>
      <c r="C21" s="40">
        <v>20171722</v>
      </c>
      <c r="D21" s="40" t="s">
        <v>96</v>
      </c>
      <c r="E21" s="72" t="s">
        <v>7</v>
      </c>
      <c r="F21" s="72">
        <v>1</v>
      </c>
    </row>
    <row r="22" spans="1:6">
      <c r="A22" s="40" t="s">
        <v>750</v>
      </c>
      <c r="B22" s="39" t="s">
        <v>747</v>
      </c>
      <c r="C22" s="40">
        <v>20171723</v>
      </c>
      <c r="D22" s="40" t="s">
        <v>96</v>
      </c>
      <c r="E22" s="72" t="s">
        <v>7</v>
      </c>
      <c r="F22" s="72">
        <v>1</v>
      </c>
    </row>
    <row r="23" ht="17" customHeight="1" spans="1:6">
      <c r="A23" s="40" t="s">
        <v>750</v>
      </c>
      <c r="B23" s="39" t="s">
        <v>747</v>
      </c>
      <c r="C23" s="40">
        <v>20171724</v>
      </c>
      <c r="D23" s="40" t="s">
        <v>96</v>
      </c>
      <c r="E23" s="72" t="s">
        <v>7</v>
      </c>
      <c r="F23" s="72">
        <v>1</v>
      </c>
    </row>
    <row r="24" ht="16" customHeight="1" spans="1:6">
      <c r="A24" s="40" t="s">
        <v>750</v>
      </c>
      <c r="B24" s="39" t="s">
        <v>747</v>
      </c>
      <c r="C24" s="40">
        <v>20171725</v>
      </c>
      <c r="D24" s="40" t="s">
        <v>96</v>
      </c>
      <c r="E24" s="72" t="s">
        <v>7</v>
      </c>
      <c r="F24" s="72">
        <v>1</v>
      </c>
    </row>
    <row r="25" s="40" customFormat="1" spans="1:6">
      <c r="A25" s="40" t="s">
        <v>750</v>
      </c>
      <c r="B25" s="39" t="s">
        <v>747</v>
      </c>
      <c r="C25" s="40">
        <v>20171726</v>
      </c>
      <c r="D25" s="40" t="s">
        <v>751</v>
      </c>
      <c r="E25" s="72" t="s">
        <v>7</v>
      </c>
      <c r="F25" s="72">
        <v>1</v>
      </c>
    </row>
    <row r="26" spans="1:6">
      <c r="A26" s="40" t="s">
        <v>750</v>
      </c>
      <c r="B26" s="39" t="s">
        <v>747</v>
      </c>
      <c r="C26" s="40">
        <v>20171727</v>
      </c>
      <c r="D26" s="40" t="s">
        <v>130</v>
      </c>
      <c r="E26" s="72" t="s">
        <v>7</v>
      </c>
      <c r="F26" s="72">
        <v>1</v>
      </c>
    </row>
    <row r="27" s="40" customFormat="1" spans="1:6">
      <c r="A27" s="40" t="s">
        <v>750</v>
      </c>
      <c r="B27" s="39" t="s">
        <v>747</v>
      </c>
      <c r="C27" s="40">
        <v>20171753</v>
      </c>
      <c r="D27" s="40" t="s">
        <v>752</v>
      </c>
      <c r="E27" s="72" t="s">
        <v>7</v>
      </c>
      <c r="F27" s="72">
        <v>1</v>
      </c>
    </row>
    <row r="28" s="40" customFormat="1" spans="1:6">
      <c r="A28" s="40" t="s">
        <v>750</v>
      </c>
      <c r="B28" s="39" t="s">
        <v>747</v>
      </c>
      <c r="C28" s="40">
        <v>20171754</v>
      </c>
      <c r="D28" s="40" t="s">
        <v>752</v>
      </c>
      <c r="E28" s="72" t="s">
        <v>7</v>
      </c>
      <c r="F28" s="72">
        <v>1</v>
      </c>
    </row>
    <row r="29" s="40" customFormat="1" spans="1:6">
      <c r="A29" s="40" t="s">
        <v>750</v>
      </c>
      <c r="B29" s="39" t="s">
        <v>747</v>
      </c>
      <c r="C29" s="40">
        <v>20171755</v>
      </c>
      <c r="D29" s="40" t="s">
        <v>752</v>
      </c>
      <c r="E29" s="72" t="s">
        <v>7</v>
      </c>
      <c r="F29" s="72">
        <v>1</v>
      </c>
    </row>
    <row r="30" s="40" customFormat="1" spans="1:6">
      <c r="A30" s="40" t="s">
        <v>750</v>
      </c>
      <c r="B30" s="39" t="s">
        <v>747</v>
      </c>
      <c r="C30" s="40">
        <v>20171756</v>
      </c>
      <c r="D30" s="40" t="s">
        <v>752</v>
      </c>
      <c r="E30" s="72" t="s">
        <v>7</v>
      </c>
      <c r="F30" s="72">
        <v>1</v>
      </c>
    </row>
    <row r="31" s="40" customFormat="1" spans="1:6">
      <c r="A31" s="40" t="s">
        <v>750</v>
      </c>
      <c r="B31" s="39" t="s">
        <v>747</v>
      </c>
      <c r="C31" s="40">
        <v>20171757</v>
      </c>
      <c r="D31" s="40" t="s">
        <v>752</v>
      </c>
      <c r="E31" s="72" t="s">
        <v>7</v>
      </c>
      <c r="F31" s="72">
        <v>1</v>
      </c>
    </row>
    <row r="32" s="40" customFormat="1" spans="1:6">
      <c r="A32" s="40" t="s">
        <v>750</v>
      </c>
      <c r="B32" s="39" t="s">
        <v>747</v>
      </c>
      <c r="C32" s="40">
        <v>20171758</v>
      </c>
      <c r="D32" s="40" t="s">
        <v>752</v>
      </c>
      <c r="E32" s="72" t="s">
        <v>7</v>
      </c>
      <c r="F32" s="72">
        <v>1</v>
      </c>
    </row>
    <row r="33" s="40" customFormat="1" spans="1:6">
      <c r="A33" s="40" t="s">
        <v>750</v>
      </c>
      <c r="B33" s="39" t="s">
        <v>747</v>
      </c>
      <c r="C33" s="40">
        <v>20171759</v>
      </c>
      <c r="D33" s="40" t="s">
        <v>752</v>
      </c>
      <c r="E33" s="72" t="s">
        <v>7</v>
      </c>
      <c r="F33" s="72">
        <v>1</v>
      </c>
    </row>
    <row r="34" s="40" customFormat="1" spans="1:6">
      <c r="A34" s="40" t="s">
        <v>750</v>
      </c>
      <c r="B34" s="39" t="s">
        <v>747</v>
      </c>
      <c r="C34" s="40">
        <v>20171760</v>
      </c>
      <c r="D34" s="40" t="s">
        <v>752</v>
      </c>
      <c r="E34" s="72" t="s">
        <v>7</v>
      </c>
      <c r="F34" s="72">
        <v>1</v>
      </c>
    </row>
    <row r="35" s="40" customFormat="1" spans="1:6">
      <c r="A35" s="40" t="s">
        <v>750</v>
      </c>
      <c r="B35" s="39" t="s">
        <v>747</v>
      </c>
      <c r="C35" s="40">
        <v>20171761</v>
      </c>
      <c r="D35" s="40" t="s">
        <v>752</v>
      </c>
      <c r="E35" s="72" t="s">
        <v>7</v>
      </c>
      <c r="F35" s="72">
        <v>1</v>
      </c>
    </row>
    <row r="36" s="40" customFormat="1" spans="1:6">
      <c r="A36" s="40" t="s">
        <v>750</v>
      </c>
      <c r="B36" s="39" t="s">
        <v>747</v>
      </c>
      <c r="C36" s="40">
        <v>20171762</v>
      </c>
      <c r="D36" s="40" t="s">
        <v>752</v>
      </c>
      <c r="E36" s="72" t="s">
        <v>7</v>
      </c>
      <c r="F36" s="72">
        <v>1</v>
      </c>
    </row>
    <row r="37" s="40" customFormat="1" spans="1:6">
      <c r="A37" s="40" t="s">
        <v>750</v>
      </c>
      <c r="B37" s="39" t="s">
        <v>747</v>
      </c>
      <c r="C37" s="40">
        <v>20171763</v>
      </c>
      <c r="D37" s="40" t="s">
        <v>752</v>
      </c>
      <c r="E37" s="72" t="s">
        <v>7</v>
      </c>
      <c r="F37" s="72">
        <v>1</v>
      </c>
    </row>
    <row r="38" s="40" customFormat="1" spans="1:6">
      <c r="A38" s="40" t="s">
        <v>750</v>
      </c>
      <c r="B38" s="39" t="s">
        <v>747</v>
      </c>
      <c r="C38" s="40">
        <v>20171764</v>
      </c>
      <c r="D38" s="40" t="s">
        <v>752</v>
      </c>
      <c r="E38" s="72" t="s">
        <v>7</v>
      </c>
      <c r="F38" s="72">
        <v>1</v>
      </c>
    </row>
    <row r="39" s="40" customFormat="1" spans="1:6">
      <c r="A39" s="40" t="s">
        <v>750</v>
      </c>
      <c r="B39" s="39" t="s">
        <v>747</v>
      </c>
      <c r="C39" s="40">
        <v>20171765</v>
      </c>
      <c r="D39" s="40" t="s">
        <v>752</v>
      </c>
      <c r="E39" s="72" t="s">
        <v>7</v>
      </c>
      <c r="F39" s="72">
        <v>1</v>
      </c>
    </row>
    <row r="40" s="40" customFormat="1" spans="1:6">
      <c r="A40" s="40" t="s">
        <v>750</v>
      </c>
      <c r="B40" s="39" t="s">
        <v>747</v>
      </c>
      <c r="C40" s="40">
        <v>20171766</v>
      </c>
      <c r="D40" s="40" t="s">
        <v>752</v>
      </c>
      <c r="E40" s="72" t="s">
        <v>7</v>
      </c>
      <c r="F40" s="72">
        <v>1</v>
      </c>
    </row>
    <row r="41" s="40" customFormat="1" spans="1:6">
      <c r="A41" s="40" t="s">
        <v>750</v>
      </c>
      <c r="B41" s="39" t="s">
        <v>747</v>
      </c>
      <c r="C41" s="40">
        <v>20171767</v>
      </c>
      <c r="D41" s="40" t="s">
        <v>752</v>
      </c>
      <c r="E41" s="72" t="s">
        <v>7</v>
      </c>
      <c r="F41" s="72">
        <v>1</v>
      </c>
    </row>
    <row r="42" s="40" customFormat="1" spans="1:6">
      <c r="A42" s="40" t="s">
        <v>750</v>
      </c>
      <c r="B42" s="39" t="s">
        <v>747</v>
      </c>
      <c r="C42" s="40">
        <v>20171768</v>
      </c>
      <c r="D42" s="40" t="s">
        <v>752</v>
      </c>
      <c r="E42" s="72" t="s">
        <v>7</v>
      </c>
      <c r="F42" s="72">
        <v>1</v>
      </c>
    </row>
    <row r="43" s="40" customFormat="1" spans="1:6">
      <c r="A43" s="40" t="s">
        <v>750</v>
      </c>
      <c r="B43" s="39" t="s">
        <v>747</v>
      </c>
      <c r="C43" s="40">
        <v>20171769</v>
      </c>
      <c r="D43" s="40" t="s">
        <v>752</v>
      </c>
      <c r="E43" s="72" t="s">
        <v>7</v>
      </c>
      <c r="F43" s="72">
        <v>1</v>
      </c>
    </row>
    <row r="44" s="40" customFormat="1" spans="1:6">
      <c r="A44" s="40" t="s">
        <v>750</v>
      </c>
      <c r="B44" s="39" t="s">
        <v>747</v>
      </c>
      <c r="C44" s="40">
        <v>20171770</v>
      </c>
      <c r="D44" s="40" t="s">
        <v>752</v>
      </c>
      <c r="E44" s="72" t="s">
        <v>7</v>
      </c>
      <c r="F44" s="72">
        <v>1</v>
      </c>
    </row>
    <row r="45" s="40" customFormat="1" spans="1:6">
      <c r="A45" s="40" t="s">
        <v>750</v>
      </c>
      <c r="B45" s="39" t="s">
        <v>747</v>
      </c>
      <c r="C45" s="40">
        <v>20171771</v>
      </c>
      <c r="D45" s="40" t="s">
        <v>752</v>
      </c>
      <c r="E45" s="72" t="s">
        <v>7</v>
      </c>
      <c r="F45" s="72">
        <v>1</v>
      </c>
    </row>
    <row r="46" s="40" customFormat="1" spans="1:6">
      <c r="A46" s="40" t="s">
        <v>750</v>
      </c>
      <c r="B46" s="39" t="s">
        <v>747</v>
      </c>
      <c r="C46" s="40">
        <v>20171773</v>
      </c>
      <c r="D46" s="40" t="s">
        <v>753</v>
      </c>
      <c r="E46" s="72" t="s">
        <v>7</v>
      </c>
      <c r="F46" s="72">
        <v>1</v>
      </c>
    </row>
    <row r="47" s="40" customFormat="1" spans="1:6">
      <c r="A47" s="40" t="s">
        <v>750</v>
      </c>
      <c r="B47" s="39" t="s">
        <v>747</v>
      </c>
      <c r="C47" s="40">
        <v>20171774</v>
      </c>
      <c r="D47" s="40" t="s">
        <v>753</v>
      </c>
      <c r="E47" s="72" t="s">
        <v>7</v>
      </c>
      <c r="F47" s="72">
        <v>1</v>
      </c>
    </row>
    <row r="48" s="40" customFormat="1" spans="1:6">
      <c r="A48" s="40" t="s">
        <v>750</v>
      </c>
      <c r="B48" s="39" t="s">
        <v>747</v>
      </c>
      <c r="C48" s="40">
        <v>20171775</v>
      </c>
      <c r="D48" s="40" t="s">
        <v>753</v>
      </c>
      <c r="E48" s="72" t="s">
        <v>7</v>
      </c>
      <c r="F48" s="72">
        <v>1</v>
      </c>
    </row>
    <row r="49" s="40" customFormat="1" spans="1:6">
      <c r="A49" s="40" t="s">
        <v>750</v>
      </c>
      <c r="B49" s="39" t="s">
        <v>747</v>
      </c>
      <c r="C49" s="40">
        <v>20171776</v>
      </c>
      <c r="D49" s="40" t="s">
        <v>753</v>
      </c>
      <c r="E49" s="72" t="s">
        <v>7</v>
      </c>
      <c r="F49" s="72">
        <v>1</v>
      </c>
    </row>
    <row r="50" s="40" customFormat="1" spans="1:6">
      <c r="A50" s="40" t="s">
        <v>750</v>
      </c>
      <c r="B50" s="39" t="s">
        <v>747</v>
      </c>
      <c r="C50" s="40">
        <v>20171777</v>
      </c>
      <c r="D50" s="40" t="s">
        <v>753</v>
      </c>
      <c r="E50" s="72" t="s">
        <v>7</v>
      </c>
      <c r="F50" s="72">
        <v>1</v>
      </c>
    </row>
    <row r="51" s="40" customFormat="1" spans="1:6">
      <c r="A51" s="40" t="s">
        <v>750</v>
      </c>
      <c r="B51" s="39" t="s">
        <v>747</v>
      </c>
      <c r="C51" s="40">
        <v>20171778</v>
      </c>
      <c r="D51" s="40" t="s">
        <v>753</v>
      </c>
      <c r="E51" s="72" t="s">
        <v>7</v>
      </c>
      <c r="F51" s="72">
        <v>1</v>
      </c>
    </row>
    <row r="52" s="40" customFormat="1" spans="1:6">
      <c r="A52" s="40" t="s">
        <v>750</v>
      </c>
      <c r="B52" s="39" t="s">
        <v>747</v>
      </c>
      <c r="C52" s="40">
        <v>20171779</v>
      </c>
      <c r="D52" s="40" t="s">
        <v>753</v>
      </c>
      <c r="E52" s="72" t="s">
        <v>7</v>
      </c>
      <c r="F52" s="72">
        <v>1</v>
      </c>
    </row>
    <row r="53" spans="1:6">
      <c r="A53" s="40" t="s">
        <v>750</v>
      </c>
      <c r="B53" s="39" t="s">
        <v>747</v>
      </c>
      <c r="C53" s="40">
        <v>20180168</v>
      </c>
      <c r="D53" s="40" t="s">
        <v>95</v>
      </c>
      <c r="E53" s="72" t="s">
        <v>7</v>
      </c>
      <c r="F53" s="72">
        <v>1</v>
      </c>
    </row>
    <row r="54" spans="1:6">
      <c r="A54" s="40" t="s">
        <v>750</v>
      </c>
      <c r="B54" s="39" t="s">
        <v>747</v>
      </c>
      <c r="C54" s="40">
        <v>20180169</v>
      </c>
      <c r="D54" s="40" t="s">
        <v>95</v>
      </c>
      <c r="E54" s="72" t="s">
        <v>7</v>
      </c>
      <c r="F54" s="72">
        <v>1</v>
      </c>
    </row>
    <row r="55" s="40" customFormat="1" spans="1:6">
      <c r="A55" s="40" t="s">
        <v>750</v>
      </c>
      <c r="B55" s="39" t="s">
        <v>747</v>
      </c>
      <c r="C55" s="40">
        <v>20180182</v>
      </c>
      <c r="D55" s="40" t="s">
        <v>305</v>
      </c>
      <c r="E55" s="72" t="s">
        <v>7</v>
      </c>
      <c r="F55" s="72">
        <v>1</v>
      </c>
    </row>
    <row r="56" s="40" customFormat="1" spans="1:6">
      <c r="A56" s="40" t="s">
        <v>750</v>
      </c>
      <c r="B56" s="39" t="s">
        <v>747</v>
      </c>
      <c r="C56" s="40">
        <v>20180183</v>
      </c>
      <c r="D56" s="40" t="s">
        <v>305</v>
      </c>
      <c r="E56" s="72" t="s">
        <v>7</v>
      </c>
      <c r="F56" s="72">
        <v>1</v>
      </c>
    </row>
    <row r="57" s="40" customFormat="1" spans="1:6">
      <c r="A57" s="40" t="s">
        <v>750</v>
      </c>
      <c r="B57" s="39" t="s">
        <v>747</v>
      </c>
      <c r="C57" s="40" t="s">
        <v>754</v>
      </c>
      <c r="D57" s="40" t="s">
        <v>96</v>
      </c>
      <c r="E57" s="40" t="s">
        <v>7</v>
      </c>
      <c r="F57" s="72">
        <v>1</v>
      </c>
    </row>
    <row r="58" s="40" customFormat="1" spans="1:6">
      <c r="A58" s="40" t="s">
        <v>750</v>
      </c>
      <c r="B58" s="39" t="s">
        <v>747</v>
      </c>
      <c r="C58" s="40" t="s">
        <v>755</v>
      </c>
      <c r="D58" s="40" t="s">
        <v>96</v>
      </c>
      <c r="E58" s="40" t="s">
        <v>7</v>
      </c>
      <c r="F58" s="72">
        <v>1</v>
      </c>
    </row>
    <row r="59" s="40" customFormat="1" spans="1:6">
      <c r="A59" s="40" t="s">
        <v>750</v>
      </c>
      <c r="B59" s="39" t="s">
        <v>747</v>
      </c>
      <c r="C59" s="40" t="s">
        <v>756</v>
      </c>
      <c r="D59" s="40" t="s">
        <v>96</v>
      </c>
      <c r="E59" s="40" t="s">
        <v>7</v>
      </c>
      <c r="F59" s="72">
        <v>1</v>
      </c>
    </row>
    <row r="60" s="40" customFormat="1" spans="1:6">
      <c r="A60" s="40" t="s">
        <v>750</v>
      </c>
      <c r="B60" s="39" t="s">
        <v>747</v>
      </c>
      <c r="C60" s="40" t="s">
        <v>757</v>
      </c>
      <c r="D60" s="40" t="s">
        <v>96</v>
      </c>
      <c r="E60" s="40" t="s">
        <v>7</v>
      </c>
      <c r="F60" s="72">
        <v>1</v>
      </c>
    </row>
    <row r="61" s="40" customFormat="1" spans="1:6">
      <c r="A61" s="40" t="s">
        <v>750</v>
      </c>
      <c r="B61" s="39" t="s">
        <v>747</v>
      </c>
      <c r="C61" s="40" t="s">
        <v>758</v>
      </c>
      <c r="D61" s="40" t="s">
        <v>96</v>
      </c>
      <c r="E61" s="40" t="s">
        <v>7</v>
      </c>
      <c r="F61" s="72">
        <v>1</v>
      </c>
    </row>
    <row r="62" s="40" customFormat="1" spans="1:6">
      <c r="A62" s="40" t="s">
        <v>750</v>
      </c>
      <c r="B62" s="39" t="s">
        <v>747</v>
      </c>
      <c r="C62" s="40" t="s">
        <v>759</v>
      </c>
      <c r="D62" s="40" t="s">
        <v>96</v>
      </c>
      <c r="E62" s="40" t="s">
        <v>7</v>
      </c>
      <c r="F62" s="72">
        <v>1</v>
      </c>
    </row>
    <row r="63" s="40" customFormat="1" spans="1:6">
      <c r="A63" s="40" t="s">
        <v>750</v>
      </c>
      <c r="B63" s="39" t="s">
        <v>747</v>
      </c>
      <c r="C63" s="40" t="s">
        <v>760</v>
      </c>
      <c r="D63" s="40" t="s">
        <v>96</v>
      </c>
      <c r="E63" s="40" t="s">
        <v>7</v>
      </c>
      <c r="F63" s="72">
        <v>1</v>
      </c>
    </row>
    <row r="64" s="40" customFormat="1" spans="1:6">
      <c r="A64" s="40" t="s">
        <v>750</v>
      </c>
      <c r="B64" s="39" t="s">
        <v>747</v>
      </c>
      <c r="C64" s="40" t="s">
        <v>761</v>
      </c>
      <c r="D64" s="40" t="s">
        <v>96</v>
      </c>
      <c r="E64" s="40" t="s">
        <v>7</v>
      </c>
      <c r="F64" s="72">
        <v>1</v>
      </c>
    </row>
    <row r="65" s="40" customFormat="1" spans="1:6">
      <c r="A65" s="40" t="s">
        <v>750</v>
      </c>
      <c r="B65" s="39" t="s">
        <v>747</v>
      </c>
      <c r="C65" s="40" t="s">
        <v>762</v>
      </c>
      <c r="D65" s="40" t="s">
        <v>96</v>
      </c>
      <c r="E65" s="40" t="s">
        <v>7</v>
      </c>
      <c r="F65" s="72">
        <v>1</v>
      </c>
    </row>
    <row r="66" s="40" customFormat="1" spans="1:6">
      <c r="A66" s="40" t="s">
        <v>750</v>
      </c>
      <c r="B66" s="39" t="s">
        <v>747</v>
      </c>
      <c r="C66" s="40" t="s">
        <v>763</v>
      </c>
      <c r="D66" s="40" t="s">
        <v>96</v>
      </c>
      <c r="E66" s="40" t="s">
        <v>7</v>
      </c>
      <c r="F66" s="72">
        <v>1</v>
      </c>
    </row>
    <row r="67" s="40" customFormat="1" spans="1:6">
      <c r="A67" s="40" t="s">
        <v>750</v>
      </c>
      <c r="B67" s="39" t="s">
        <v>747</v>
      </c>
      <c r="C67" s="40" t="s">
        <v>764</v>
      </c>
      <c r="D67" s="40" t="s">
        <v>96</v>
      </c>
      <c r="E67" s="40" t="s">
        <v>7</v>
      </c>
      <c r="F67" s="72">
        <v>1</v>
      </c>
    </row>
    <row r="68" s="40" customFormat="1" spans="1:6">
      <c r="A68" s="40" t="s">
        <v>750</v>
      </c>
      <c r="B68" s="39" t="s">
        <v>747</v>
      </c>
      <c r="C68" s="40" t="s">
        <v>765</v>
      </c>
      <c r="D68" s="40" t="s">
        <v>96</v>
      </c>
      <c r="E68" s="40" t="s">
        <v>7</v>
      </c>
      <c r="F68" s="72">
        <v>1</v>
      </c>
    </row>
    <row r="69" s="40" customFormat="1" spans="1:6">
      <c r="A69" s="40" t="s">
        <v>750</v>
      </c>
      <c r="B69" s="39" t="s">
        <v>747</v>
      </c>
      <c r="C69" s="40" t="s">
        <v>766</v>
      </c>
      <c r="D69" s="40" t="s">
        <v>96</v>
      </c>
      <c r="E69" s="40" t="s">
        <v>7</v>
      </c>
      <c r="F69" s="72">
        <v>1</v>
      </c>
    </row>
    <row r="70" s="40" customFormat="1" spans="1:6">
      <c r="A70" s="40" t="s">
        <v>750</v>
      </c>
      <c r="B70" s="39" t="s">
        <v>747</v>
      </c>
      <c r="C70" s="40" t="s">
        <v>767</v>
      </c>
      <c r="D70" s="40" t="s">
        <v>96</v>
      </c>
      <c r="E70" s="40" t="s">
        <v>7</v>
      </c>
      <c r="F70" s="72">
        <v>1</v>
      </c>
    </row>
    <row r="71" s="40" customFormat="1" spans="1:6">
      <c r="A71" s="40" t="s">
        <v>750</v>
      </c>
      <c r="B71" s="39" t="s">
        <v>747</v>
      </c>
      <c r="C71" s="40" t="s">
        <v>768</v>
      </c>
      <c r="D71" s="40" t="s">
        <v>96</v>
      </c>
      <c r="E71" s="40" t="s">
        <v>7</v>
      </c>
      <c r="F71" s="72">
        <v>1</v>
      </c>
    </row>
    <row r="72" s="40" customFormat="1" spans="1:6">
      <c r="A72" s="40" t="s">
        <v>750</v>
      </c>
      <c r="B72" s="39" t="s">
        <v>747</v>
      </c>
      <c r="C72" s="40" t="s">
        <v>769</v>
      </c>
      <c r="D72" s="40" t="s">
        <v>770</v>
      </c>
      <c r="E72" s="40" t="s">
        <v>7</v>
      </c>
      <c r="F72" s="72">
        <v>1</v>
      </c>
    </row>
    <row r="73" s="40" customFormat="1" spans="1:6">
      <c r="A73" s="40" t="s">
        <v>750</v>
      </c>
      <c r="B73" s="39" t="s">
        <v>747</v>
      </c>
      <c r="C73" s="40" t="s">
        <v>771</v>
      </c>
      <c r="D73" s="40" t="s">
        <v>772</v>
      </c>
      <c r="E73" s="40" t="s">
        <v>7</v>
      </c>
      <c r="F73" s="72">
        <v>1</v>
      </c>
    </row>
    <row r="74" s="40" customFormat="1" spans="1:6">
      <c r="A74" s="40" t="s">
        <v>750</v>
      </c>
      <c r="B74" s="39" t="s">
        <v>747</v>
      </c>
      <c r="C74" s="40" t="s">
        <v>773</v>
      </c>
      <c r="D74" s="40" t="s">
        <v>362</v>
      </c>
      <c r="E74" s="40" t="s">
        <v>7</v>
      </c>
      <c r="F74" s="72">
        <v>1</v>
      </c>
    </row>
    <row r="75" s="40" customFormat="1" spans="1:6">
      <c r="A75" s="40" t="s">
        <v>750</v>
      </c>
      <c r="B75" s="39" t="s">
        <v>747</v>
      </c>
      <c r="C75" s="40" t="s">
        <v>774</v>
      </c>
      <c r="D75" s="40" t="s">
        <v>95</v>
      </c>
      <c r="E75" s="40" t="s">
        <v>7</v>
      </c>
      <c r="F75" s="72">
        <v>1</v>
      </c>
    </row>
    <row r="76" s="40" customFormat="1" spans="1:6">
      <c r="A76" s="40" t="s">
        <v>750</v>
      </c>
      <c r="B76" s="39" t="s">
        <v>747</v>
      </c>
      <c r="C76" s="40" t="s">
        <v>775</v>
      </c>
      <c r="D76" s="40" t="s">
        <v>95</v>
      </c>
      <c r="E76" s="40" t="s">
        <v>7</v>
      </c>
      <c r="F76" s="72">
        <v>1</v>
      </c>
    </row>
    <row r="77" s="40" customFormat="1" spans="1:6">
      <c r="A77" s="40" t="s">
        <v>750</v>
      </c>
      <c r="B77" s="39" t="s">
        <v>747</v>
      </c>
      <c r="C77" s="40" t="s">
        <v>776</v>
      </c>
      <c r="D77" s="40" t="s">
        <v>95</v>
      </c>
      <c r="E77" s="40" t="s">
        <v>7</v>
      </c>
      <c r="F77" s="72">
        <v>1</v>
      </c>
    </row>
    <row r="78" s="40" customFormat="1" spans="1:6">
      <c r="A78" s="40" t="s">
        <v>750</v>
      </c>
      <c r="B78" s="39" t="s">
        <v>747</v>
      </c>
      <c r="C78" s="40" t="s">
        <v>777</v>
      </c>
      <c r="D78" s="40" t="s">
        <v>96</v>
      </c>
      <c r="E78" s="40" t="s">
        <v>7</v>
      </c>
      <c r="F78" s="72">
        <v>1</v>
      </c>
    </row>
    <row r="79" s="40" customFormat="1" spans="1:6">
      <c r="A79" s="40" t="s">
        <v>750</v>
      </c>
      <c r="B79" s="39" t="s">
        <v>747</v>
      </c>
      <c r="C79" s="40" t="s">
        <v>778</v>
      </c>
      <c r="D79" s="40" t="s">
        <v>96</v>
      </c>
      <c r="E79" s="40" t="s">
        <v>7</v>
      </c>
      <c r="F79" s="72">
        <v>1</v>
      </c>
    </row>
    <row r="80" s="40" customFormat="1" spans="1:6">
      <c r="A80" s="40" t="s">
        <v>750</v>
      </c>
      <c r="B80" s="39" t="s">
        <v>747</v>
      </c>
      <c r="C80" s="40" t="s">
        <v>779</v>
      </c>
      <c r="D80" s="40" t="s">
        <v>96</v>
      </c>
      <c r="E80" s="40" t="s">
        <v>7</v>
      </c>
      <c r="F80" s="72">
        <v>1</v>
      </c>
    </row>
    <row r="81" s="40" customFormat="1" spans="1:6">
      <c r="A81" s="40" t="s">
        <v>750</v>
      </c>
      <c r="B81" s="39" t="s">
        <v>747</v>
      </c>
      <c r="C81" s="40" t="s">
        <v>780</v>
      </c>
      <c r="D81" s="40" t="s">
        <v>781</v>
      </c>
      <c r="E81" s="40" t="s">
        <v>7</v>
      </c>
      <c r="F81" s="72">
        <v>1</v>
      </c>
    </row>
    <row r="82" s="40" customFormat="1" spans="1:6">
      <c r="A82" s="40" t="s">
        <v>750</v>
      </c>
      <c r="B82" s="39" t="s">
        <v>747</v>
      </c>
      <c r="C82" s="40" t="s">
        <v>782</v>
      </c>
      <c r="D82" s="40" t="s">
        <v>783</v>
      </c>
      <c r="E82" s="40" t="s">
        <v>7</v>
      </c>
      <c r="F82" s="72">
        <v>1</v>
      </c>
    </row>
    <row r="83" spans="1:6">
      <c r="A83" s="40" t="s">
        <v>750</v>
      </c>
      <c r="B83" s="39" t="s">
        <v>747</v>
      </c>
      <c r="C83" s="40" t="s">
        <v>784</v>
      </c>
      <c r="D83" s="40" t="s">
        <v>49</v>
      </c>
      <c r="E83" s="40" t="s">
        <v>7</v>
      </c>
      <c r="F83" s="72">
        <v>1</v>
      </c>
    </row>
    <row r="84" s="40" customFormat="1" spans="1:6">
      <c r="A84" s="40" t="s">
        <v>750</v>
      </c>
      <c r="B84" s="39" t="s">
        <v>747</v>
      </c>
      <c r="C84" s="40">
        <v>20130892</v>
      </c>
      <c r="D84" s="40" t="s">
        <v>785</v>
      </c>
      <c r="E84" s="40" t="s">
        <v>7</v>
      </c>
      <c r="F84" s="72">
        <v>1</v>
      </c>
    </row>
    <row r="85" s="40" customFormat="1" spans="1:6">
      <c r="A85" s="40" t="s">
        <v>750</v>
      </c>
      <c r="B85" s="39" t="s">
        <v>747</v>
      </c>
      <c r="C85" s="40">
        <v>20130893</v>
      </c>
      <c r="D85" s="40" t="s">
        <v>785</v>
      </c>
      <c r="E85" s="40" t="s">
        <v>7</v>
      </c>
      <c r="F85" s="72">
        <v>1</v>
      </c>
    </row>
    <row r="86" s="40" customFormat="1" spans="1:6">
      <c r="A86" s="40" t="s">
        <v>750</v>
      </c>
      <c r="B86" s="39" t="s">
        <v>747</v>
      </c>
      <c r="C86" s="40">
        <v>20130894</v>
      </c>
      <c r="D86" s="40" t="s">
        <v>785</v>
      </c>
      <c r="E86" s="40" t="s">
        <v>7</v>
      </c>
      <c r="F86" s="72">
        <v>1</v>
      </c>
    </row>
    <row r="87" s="40" customFormat="1" spans="1:6">
      <c r="A87" s="40" t="s">
        <v>750</v>
      </c>
      <c r="B87" s="39" t="s">
        <v>747</v>
      </c>
      <c r="C87" s="40">
        <v>20130895</v>
      </c>
      <c r="D87" s="40" t="s">
        <v>785</v>
      </c>
      <c r="E87" s="40" t="s">
        <v>7</v>
      </c>
      <c r="F87" s="72">
        <v>1</v>
      </c>
    </row>
    <row r="88" s="40" customFormat="1" spans="1:6">
      <c r="A88" s="40" t="s">
        <v>750</v>
      </c>
      <c r="B88" s="39" t="s">
        <v>747</v>
      </c>
      <c r="C88" s="40">
        <v>20130896</v>
      </c>
      <c r="D88" s="40" t="s">
        <v>785</v>
      </c>
      <c r="E88" s="40" t="s">
        <v>7</v>
      </c>
      <c r="F88" s="72">
        <v>1</v>
      </c>
    </row>
    <row r="89" s="40" customFormat="1" spans="1:6">
      <c r="A89" s="40" t="s">
        <v>750</v>
      </c>
      <c r="B89" s="39" t="s">
        <v>747</v>
      </c>
      <c r="C89" s="40">
        <v>20130897</v>
      </c>
      <c r="D89" s="40" t="s">
        <v>785</v>
      </c>
      <c r="E89" s="40" t="s">
        <v>7</v>
      </c>
      <c r="F89" s="72">
        <v>1</v>
      </c>
    </row>
    <row r="90" s="40" customFormat="1" spans="1:6">
      <c r="A90" s="40" t="s">
        <v>750</v>
      </c>
      <c r="B90" s="39" t="s">
        <v>747</v>
      </c>
      <c r="C90" s="40">
        <v>20130898</v>
      </c>
      <c r="D90" s="40" t="s">
        <v>785</v>
      </c>
      <c r="E90" s="40" t="s">
        <v>7</v>
      </c>
      <c r="F90" s="72">
        <v>1</v>
      </c>
    </row>
    <row r="91" s="40" customFormat="1" spans="1:6">
      <c r="A91" s="40" t="s">
        <v>750</v>
      </c>
      <c r="B91" s="39" t="s">
        <v>747</v>
      </c>
      <c r="C91" s="40">
        <v>20130899</v>
      </c>
      <c r="D91" s="40" t="s">
        <v>786</v>
      </c>
      <c r="E91" s="40" t="s">
        <v>7</v>
      </c>
      <c r="F91" s="72">
        <v>1</v>
      </c>
    </row>
    <row r="92" s="40" customFormat="1" spans="1:6">
      <c r="A92" s="40" t="s">
        <v>750</v>
      </c>
      <c r="B92" s="39" t="s">
        <v>747</v>
      </c>
      <c r="C92" s="40">
        <v>20130900</v>
      </c>
      <c r="D92" s="40" t="s">
        <v>786</v>
      </c>
      <c r="E92" s="40" t="s">
        <v>7</v>
      </c>
      <c r="F92" s="72">
        <v>1</v>
      </c>
    </row>
    <row r="93" s="40" customFormat="1" spans="1:6">
      <c r="A93" s="40" t="s">
        <v>750</v>
      </c>
      <c r="B93" s="39" t="s">
        <v>747</v>
      </c>
      <c r="C93" s="40">
        <v>20130901</v>
      </c>
      <c r="D93" s="40" t="s">
        <v>786</v>
      </c>
      <c r="E93" s="40" t="s">
        <v>7</v>
      </c>
      <c r="F93" s="72">
        <v>1</v>
      </c>
    </row>
    <row r="94" s="40" customFormat="1" spans="1:6">
      <c r="A94" s="40" t="s">
        <v>750</v>
      </c>
      <c r="B94" s="39" t="s">
        <v>747</v>
      </c>
      <c r="C94" s="40">
        <v>20130902</v>
      </c>
      <c r="D94" s="40" t="s">
        <v>786</v>
      </c>
      <c r="E94" s="40" t="s">
        <v>7</v>
      </c>
      <c r="F94" s="72">
        <v>1</v>
      </c>
    </row>
    <row r="95" s="40" customFormat="1" spans="1:6">
      <c r="A95" s="40" t="s">
        <v>750</v>
      </c>
      <c r="B95" s="39" t="s">
        <v>747</v>
      </c>
      <c r="C95" s="40">
        <v>20130903</v>
      </c>
      <c r="D95" s="40" t="s">
        <v>786</v>
      </c>
      <c r="E95" s="40" t="s">
        <v>7</v>
      </c>
      <c r="F95" s="72">
        <v>1</v>
      </c>
    </row>
    <row r="96" s="40" customFormat="1" spans="1:6">
      <c r="A96" s="40" t="s">
        <v>750</v>
      </c>
      <c r="B96" s="39" t="s">
        <v>747</v>
      </c>
      <c r="C96" s="40">
        <v>20130904</v>
      </c>
      <c r="D96" s="40" t="s">
        <v>786</v>
      </c>
      <c r="E96" s="40" t="s">
        <v>7</v>
      </c>
      <c r="F96" s="72">
        <v>1</v>
      </c>
    </row>
    <row r="97" s="40" customFormat="1" spans="1:6">
      <c r="A97" s="40" t="s">
        <v>750</v>
      </c>
      <c r="B97" s="39" t="s">
        <v>747</v>
      </c>
      <c r="C97" s="40">
        <v>20130905</v>
      </c>
      <c r="D97" s="40" t="s">
        <v>786</v>
      </c>
      <c r="E97" s="40" t="s">
        <v>7</v>
      </c>
      <c r="F97" s="72">
        <v>1</v>
      </c>
    </row>
    <row r="98" s="40" customFormat="1" spans="1:6">
      <c r="A98" s="40" t="s">
        <v>750</v>
      </c>
      <c r="B98" s="39" t="s">
        <v>747</v>
      </c>
      <c r="C98" s="40">
        <v>20130906</v>
      </c>
      <c r="D98" s="40" t="s">
        <v>786</v>
      </c>
      <c r="E98" s="40" t="s">
        <v>7</v>
      </c>
      <c r="F98" s="72">
        <v>1</v>
      </c>
    </row>
    <row r="99" s="40" customFormat="1" spans="1:6">
      <c r="A99" s="40" t="s">
        <v>750</v>
      </c>
      <c r="B99" s="39" t="s">
        <v>747</v>
      </c>
      <c r="C99" s="40">
        <v>20130907</v>
      </c>
      <c r="D99" s="40" t="s">
        <v>787</v>
      </c>
      <c r="E99" s="40" t="s">
        <v>7</v>
      </c>
      <c r="F99" s="72">
        <v>1</v>
      </c>
    </row>
    <row r="100" s="40" customFormat="1" spans="1:6">
      <c r="A100" s="40" t="s">
        <v>750</v>
      </c>
      <c r="B100" s="39" t="s">
        <v>747</v>
      </c>
      <c r="C100" s="40">
        <v>20130908</v>
      </c>
      <c r="D100" s="40" t="s">
        <v>787</v>
      </c>
      <c r="E100" s="40" t="s">
        <v>7</v>
      </c>
      <c r="F100" s="72">
        <v>1</v>
      </c>
    </row>
    <row r="101" s="40" customFormat="1" spans="1:6">
      <c r="A101" s="40" t="s">
        <v>750</v>
      </c>
      <c r="B101" s="39" t="s">
        <v>747</v>
      </c>
      <c r="C101" s="40">
        <v>20130909</v>
      </c>
      <c r="D101" s="40" t="s">
        <v>787</v>
      </c>
      <c r="E101" s="40" t="s">
        <v>7</v>
      </c>
      <c r="F101" s="72">
        <v>1</v>
      </c>
    </row>
    <row r="102" s="40" customFormat="1" spans="1:6">
      <c r="A102" s="40" t="s">
        <v>750</v>
      </c>
      <c r="B102" s="39" t="s">
        <v>747</v>
      </c>
      <c r="C102" s="40">
        <v>20130910</v>
      </c>
      <c r="D102" s="40" t="s">
        <v>787</v>
      </c>
      <c r="E102" s="40" t="s">
        <v>7</v>
      </c>
      <c r="F102" s="72">
        <v>1</v>
      </c>
    </row>
    <row r="103" s="40" customFormat="1" spans="1:6">
      <c r="A103" s="40" t="s">
        <v>750</v>
      </c>
      <c r="B103" s="39" t="s">
        <v>747</v>
      </c>
      <c r="C103" s="40">
        <v>20130911</v>
      </c>
      <c r="D103" s="40" t="s">
        <v>787</v>
      </c>
      <c r="E103" s="40" t="s">
        <v>7</v>
      </c>
      <c r="F103" s="72">
        <v>1</v>
      </c>
    </row>
    <row r="104" s="40" customFormat="1" spans="1:6">
      <c r="A104" s="40" t="s">
        <v>750</v>
      </c>
      <c r="B104" s="39" t="s">
        <v>747</v>
      </c>
      <c r="C104" s="40">
        <v>20130912</v>
      </c>
      <c r="D104" s="40" t="s">
        <v>787</v>
      </c>
      <c r="E104" s="40" t="s">
        <v>7</v>
      </c>
      <c r="F104" s="72">
        <v>1</v>
      </c>
    </row>
    <row r="105" s="40" customFormat="1" spans="1:6">
      <c r="A105" s="40" t="s">
        <v>750</v>
      </c>
      <c r="B105" s="39" t="s">
        <v>747</v>
      </c>
      <c r="C105" s="40">
        <v>20130913</v>
      </c>
      <c r="D105" s="40" t="s">
        <v>787</v>
      </c>
      <c r="E105" s="40" t="s">
        <v>7</v>
      </c>
      <c r="F105" s="72">
        <v>1</v>
      </c>
    </row>
    <row r="106" s="40" customFormat="1" spans="1:6">
      <c r="A106" s="40" t="s">
        <v>750</v>
      </c>
      <c r="B106" s="39" t="s">
        <v>747</v>
      </c>
      <c r="C106" s="40">
        <v>20130914</v>
      </c>
      <c r="D106" s="40" t="s">
        <v>787</v>
      </c>
      <c r="E106" s="40" t="s">
        <v>7</v>
      </c>
      <c r="F106" s="72">
        <v>1</v>
      </c>
    </row>
    <row r="107" s="40" customFormat="1" spans="1:6">
      <c r="A107" s="40" t="s">
        <v>750</v>
      </c>
      <c r="B107" s="39" t="s">
        <v>747</v>
      </c>
      <c r="C107" s="40">
        <v>20130915</v>
      </c>
      <c r="D107" s="40" t="s">
        <v>787</v>
      </c>
      <c r="E107" s="40" t="s">
        <v>7</v>
      </c>
      <c r="F107" s="72">
        <v>1</v>
      </c>
    </row>
    <row r="108" s="40" customFormat="1" spans="1:6">
      <c r="A108" s="40" t="s">
        <v>750</v>
      </c>
      <c r="B108" s="39" t="s">
        <v>747</v>
      </c>
      <c r="C108" s="40">
        <v>20130916</v>
      </c>
      <c r="D108" s="40" t="s">
        <v>787</v>
      </c>
      <c r="E108" s="40" t="s">
        <v>7</v>
      </c>
      <c r="F108" s="72">
        <v>1</v>
      </c>
    </row>
    <row r="109" s="40" customFormat="1" spans="1:6">
      <c r="A109" s="40" t="s">
        <v>750</v>
      </c>
      <c r="B109" s="39" t="s">
        <v>747</v>
      </c>
      <c r="C109" s="40">
        <v>20130917</v>
      </c>
      <c r="D109" s="40" t="s">
        <v>787</v>
      </c>
      <c r="E109" s="40" t="s">
        <v>7</v>
      </c>
      <c r="F109" s="72">
        <v>1</v>
      </c>
    </row>
    <row r="110" s="40" customFormat="1" spans="1:6">
      <c r="A110" s="40" t="s">
        <v>750</v>
      </c>
      <c r="B110" s="39" t="s">
        <v>747</v>
      </c>
      <c r="C110" s="40">
        <v>20130918</v>
      </c>
      <c r="D110" s="40" t="s">
        <v>787</v>
      </c>
      <c r="E110" s="40" t="s">
        <v>7</v>
      </c>
      <c r="F110" s="72">
        <v>1</v>
      </c>
    </row>
    <row r="111" s="40" customFormat="1" spans="1:6">
      <c r="A111" s="40" t="s">
        <v>750</v>
      </c>
      <c r="B111" s="39" t="s">
        <v>747</v>
      </c>
      <c r="C111" s="40">
        <v>20130919</v>
      </c>
      <c r="D111" s="40" t="s">
        <v>787</v>
      </c>
      <c r="E111" s="40" t="s">
        <v>7</v>
      </c>
      <c r="F111" s="72">
        <v>1</v>
      </c>
    </row>
    <row r="112" s="40" customFormat="1" spans="1:6">
      <c r="A112" s="40" t="s">
        <v>750</v>
      </c>
      <c r="B112" s="39" t="s">
        <v>747</v>
      </c>
      <c r="C112" s="40">
        <v>20130920</v>
      </c>
      <c r="D112" s="40" t="s">
        <v>787</v>
      </c>
      <c r="E112" s="40" t="s">
        <v>7</v>
      </c>
      <c r="F112" s="72">
        <v>1</v>
      </c>
    </row>
    <row r="113" s="40" customFormat="1" spans="1:6">
      <c r="A113" s="40" t="s">
        <v>750</v>
      </c>
      <c r="B113" s="39" t="s">
        <v>747</v>
      </c>
      <c r="C113" s="40">
        <v>20130921</v>
      </c>
      <c r="D113" s="40" t="s">
        <v>787</v>
      </c>
      <c r="E113" s="40" t="s">
        <v>7</v>
      </c>
      <c r="F113" s="72">
        <v>1</v>
      </c>
    </row>
    <row r="114" s="40" customFormat="1" spans="1:6">
      <c r="A114" s="40" t="s">
        <v>750</v>
      </c>
      <c r="B114" s="39" t="s">
        <v>747</v>
      </c>
      <c r="C114" s="40">
        <v>20130922</v>
      </c>
      <c r="D114" s="40" t="s">
        <v>787</v>
      </c>
      <c r="E114" s="40" t="s">
        <v>7</v>
      </c>
      <c r="F114" s="72">
        <v>1</v>
      </c>
    </row>
    <row r="115" s="40" customFormat="1" spans="1:6">
      <c r="A115" s="40" t="s">
        <v>750</v>
      </c>
      <c r="B115" s="39" t="s">
        <v>747</v>
      </c>
      <c r="C115" s="40">
        <v>20130923</v>
      </c>
      <c r="D115" s="40" t="s">
        <v>788</v>
      </c>
      <c r="E115" s="40" t="s">
        <v>7</v>
      </c>
      <c r="F115" s="72">
        <v>1</v>
      </c>
    </row>
    <row r="116" s="40" customFormat="1" spans="1:6">
      <c r="A116" s="40" t="s">
        <v>750</v>
      </c>
      <c r="B116" s="39" t="s">
        <v>747</v>
      </c>
      <c r="C116" s="40">
        <v>20130924</v>
      </c>
      <c r="D116" s="40" t="s">
        <v>788</v>
      </c>
      <c r="E116" s="40" t="s">
        <v>7</v>
      </c>
      <c r="F116" s="72">
        <v>1</v>
      </c>
    </row>
    <row r="117" s="40" customFormat="1" spans="1:6">
      <c r="A117" s="40" t="s">
        <v>750</v>
      </c>
      <c r="B117" s="39" t="s">
        <v>747</v>
      </c>
      <c r="C117" s="40">
        <v>20130925</v>
      </c>
      <c r="D117" s="40" t="s">
        <v>788</v>
      </c>
      <c r="E117" s="40" t="s">
        <v>7</v>
      </c>
      <c r="F117" s="72">
        <v>1</v>
      </c>
    </row>
    <row r="118" s="40" customFormat="1" spans="1:6">
      <c r="A118" s="40" t="s">
        <v>750</v>
      </c>
      <c r="B118" s="39" t="s">
        <v>747</v>
      </c>
      <c r="C118" s="40">
        <v>20130926</v>
      </c>
      <c r="D118" s="40" t="s">
        <v>788</v>
      </c>
      <c r="E118" s="40" t="s">
        <v>7</v>
      </c>
      <c r="F118" s="72">
        <v>1</v>
      </c>
    </row>
    <row r="119" s="40" customFormat="1" spans="1:6">
      <c r="A119" s="40" t="s">
        <v>750</v>
      </c>
      <c r="B119" s="39" t="s">
        <v>747</v>
      </c>
      <c r="C119" s="40">
        <v>20130927</v>
      </c>
      <c r="D119" s="40" t="s">
        <v>788</v>
      </c>
      <c r="E119" s="40" t="s">
        <v>7</v>
      </c>
      <c r="F119" s="72">
        <v>1</v>
      </c>
    </row>
    <row r="120" s="40" customFormat="1" spans="1:6">
      <c r="A120" s="40" t="s">
        <v>750</v>
      </c>
      <c r="B120" s="39" t="s">
        <v>747</v>
      </c>
      <c r="C120" s="40">
        <v>20130928</v>
      </c>
      <c r="D120" s="40" t="s">
        <v>788</v>
      </c>
      <c r="E120" s="40" t="s">
        <v>7</v>
      </c>
      <c r="F120" s="72">
        <v>1</v>
      </c>
    </row>
    <row r="121" s="40" customFormat="1" spans="1:6">
      <c r="A121" s="40" t="s">
        <v>750</v>
      </c>
      <c r="B121" s="39" t="s">
        <v>747</v>
      </c>
      <c r="C121" s="40">
        <v>20130929</v>
      </c>
      <c r="D121" s="40" t="s">
        <v>788</v>
      </c>
      <c r="E121" s="40" t="s">
        <v>7</v>
      </c>
      <c r="F121" s="72">
        <v>1</v>
      </c>
    </row>
    <row r="122" s="40" customFormat="1" spans="1:6">
      <c r="A122" s="40" t="s">
        <v>750</v>
      </c>
      <c r="B122" s="39" t="s">
        <v>747</v>
      </c>
      <c r="C122" s="40">
        <v>20130930</v>
      </c>
      <c r="D122" s="40" t="s">
        <v>788</v>
      </c>
      <c r="E122" s="40" t="s">
        <v>7</v>
      </c>
      <c r="F122" s="72">
        <v>1</v>
      </c>
    </row>
    <row r="123" s="40" customFormat="1" spans="1:6">
      <c r="A123" s="40" t="s">
        <v>750</v>
      </c>
      <c r="B123" s="39" t="s">
        <v>747</v>
      </c>
      <c r="C123" s="40">
        <v>20130931</v>
      </c>
      <c r="D123" s="40" t="s">
        <v>788</v>
      </c>
      <c r="E123" s="40" t="s">
        <v>7</v>
      </c>
      <c r="F123" s="72">
        <v>1</v>
      </c>
    </row>
    <row r="124" s="40" customFormat="1" spans="1:6">
      <c r="A124" s="40" t="s">
        <v>750</v>
      </c>
      <c r="B124" s="39" t="s">
        <v>747</v>
      </c>
      <c r="C124" s="40">
        <v>20130932</v>
      </c>
      <c r="D124" s="40" t="s">
        <v>788</v>
      </c>
      <c r="E124" s="40" t="s">
        <v>7</v>
      </c>
      <c r="F124" s="72">
        <v>1</v>
      </c>
    </row>
    <row r="125" s="40" customFormat="1" spans="1:6">
      <c r="A125" s="40" t="s">
        <v>750</v>
      </c>
      <c r="B125" s="39" t="s">
        <v>747</v>
      </c>
      <c r="C125" s="40">
        <v>20130933</v>
      </c>
      <c r="D125" s="40" t="s">
        <v>788</v>
      </c>
      <c r="E125" s="40" t="s">
        <v>7</v>
      </c>
      <c r="F125" s="72">
        <v>1</v>
      </c>
    </row>
    <row r="126" s="40" customFormat="1" spans="1:6">
      <c r="A126" s="40" t="s">
        <v>750</v>
      </c>
      <c r="B126" s="39" t="s">
        <v>747</v>
      </c>
      <c r="C126" s="40">
        <v>20130934</v>
      </c>
      <c r="D126" s="40" t="s">
        <v>788</v>
      </c>
      <c r="E126" s="40" t="s">
        <v>7</v>
      </c>
      <c r="F126" s="72">
        <v>1</v>
      </c>
    </row>
    <row r="127" s="40" customFormat="1" spans="1:6">
      <c r="A127" s="40" t="s">
        <v>750</v>
      </c>
      <c r="B127" s="39" t="s">
        <v>747</v>
      </c>
      <c r="C127" s="40">
        <v>20130935</v>
      </c>
      <c r="D127" s="40" t="s">
        <v>788</v>
      </c>
      <c r="E127" s="40" t="s">
        <v>7</v>
      </c>
      <c r="F127" s="72">
        <v>1</v>
      </c>
    </row>
    <row r="128" s="40" customFormat="1" spans="1:6">
      <c r="A128" s="40" t="s">
        <v>750</v>
      </c>
      <c r="B128" s="39" t="s">
        <v>747</v>
      </c>
      <c r="C128" s="40">
        <v>20130936</v>
      </c>
      <c r="D128" s="40" t="s">
        <v>788</v>
      </c>
      <c r="E128" s="40" t="s">
        <v>7</v>
      </c>
      <c r="F128" s="72">
        <v>1</v>
      </c>
    </row>
    <row r="129" s="40" customFormat="1" spans="1:6">
      <c r="A129" s="40" t="s">
        <v>750</v>
      </c>
      <c r="B129" s="39" t="s">
        <v>747</v>
      </c>
      <c r="C129" s="40">
        <v>20130937</v>
      </c>
      <c r="D129" s="40" t="s">
        <v>788</v>
      </c>
      <c r="E129" s="40" t="s">
        <v>7</v>
      </c>
      <c r="F129" s="72">
        <v>1</v>
      </c>
    </row>
    <row r="130" s="40" customFormat="1" spans="1:6">
      <c r="A130" s="40" t="s">
        <v>750</v>
      </c>
      <c r="B130" s="39" t="s">
        <v>747</v>
      </c>
      <c r="C130" s="40">
        <v>20130938</v>
      </c>
      <c r="D130" s="40" t="s">
        <v>788</v>
      </c>
      <c r="E130" s="40" t="s">
        <v>7</v>
      </c>
      <c r="F130" s="72">
        <v>1</v>
      </c>
    </row>
    <row r="131" s="40" customFormat="1" spans="1:6">
      <c r="A131" s="40" t="s">
        <v>750</v>
      </c>
      <c r="B131" s="39" t="s">
        <v>747</v>
      </c>
      <c r="C131" s="40">
        <v>20130939</v>
      </c>
      <c r="D131" s="40" t="s">
        <v>94</v>
      </c>
      <c r="E131" s="40" t="s">
        <v>7</v>
      </c>
      <c r="F131" s="72">
        <v>1</v>
      </c>
    </row>
    <row r="132" s="40" customFormat="1" spans="1:6">
      <c r="A132" s="40" t="s">
        <v>750</v>
      </c>
      <c r="B132" s="39" t="s">
        <v>747</v>
      </c>
      <c r="C132" s="40">
        <v>20130940</v>
      </c>
      <c r="D132" s="40" t="s">
        <v>94</v>
      </c>
      <c r="E132" s="40" t="s">
        <v>7</v>
      </c>
      <c r="F132" s="72">
        <v>1</v>
      </c>
    </row>
    <row r="133" s="40" customFormat="1" spans="1:6">
      <c r="A133" s="40" t="s">
        <v>750</v>
      </c>
      <c r="B133" s="39" t="s">
        <v>747</v>
      </c>
      <c r="C133" s="40">
        <v>20130941</v>
      </c>
      <c r="D133" s="40" t="s">
        <v>94</v>
      </c>
      <c r="E133" s="40" t="s">
        <v>7</v>
      </c>
      <c r="F133" s="72">
        <v>1</v>
      </c>
    </row>
    <row r="134" s="40" customFormat="1" spans="1:6">
      <c r="A134" s="40" t="s">
        <v>750</v>
      </c>
      <c r="B134" s="39" t="s">
        <v>747</v>
      </c>
      <c r="C134" s="40">
        <v>20130942</v>
      </c>
      <c r="D134" s="40" t="s">
        <v>94</v>
      </c>
      <c r="E134" s="40" t="s">
        <v>7</v>
      </c>
      <c r="F134" s="72">
        <v>1</v>
      </c>
    </row>
    <row r="135" s="40" customFormat="1" spans="1:6">
      <c r="A135" s="40" t="s">
        <v>750</v>
      </c>
      <c r="B135" s="39" t="s">
        <v>747</v>
      </c>
      <c r="C135" s="40">
        <v>20130943</v>
      </c>
      <c r="D135" s="40" t="s">
        <v>94</v>
      </c>
      <c r="E135" s="40" t="s">
        <v>7</v>
      </c>
      <c r="F135" s="72">
        <v>1</v>
      </c>
    </row>
    <row r="136" s="40" customFormat="1" spans="1:6">
      <c r="A136" s="40" t="s">
        <v>750</v>
      </c>
      <c r="B136" s="39" t="s">
        <v>747</v>
      </c>
      <c r="C136" s="40">
        <v>20130944</v>
      </c>
      <c r="D136" s="40" t="s">
        <v>94</v>
      </c>
      <c r="E136" s="40" t="s">
        <v>7</v>
      </c>
      <c r="F136" s="72">
        <v>1</v>
      </c>
    </row>
    <row r="137" s="40" customFormat="1" spans="1:6">
      <c r="A137" s="40" t="s">
        <v>750</v>
      </c>
      <c r="B137" s="39" t="s">
        <v>747</v>
      </c>
      <c r="C137" s="40">
        <v>20130945</v>
      </c>
      <c r="D137" s="40" t="s">
        <v>94</v>
      </c>
      <c r="E137" s="40" t="s">
        <v>7</v>
      </c>
      <c r="F137" s="72">
        <v>1</v>
      </c>
    </row>
    <row r="138" s="40" customFormat="1" spans="1:6">
      <c r="A138" s="40" t="s">
        <v>750</v>
      </c>
      <c r="B138" s="39" t="s">
        <v>747</v>
      </c>
      <c r="C138" s="40">
        <v>20130946</v>
      </c>
      <c r="D138" s="40" t="s">
        <v>94</v>
      </c>
      <c r="E138" s="40" t="s">
        <v>7</v>
      </c>
      <c r="F138" s="72">
        <v>1</v>
      </c>
    </row>
    <row r="139" s="40" customFormat="1" spans="1:6">
      <c r="A139" s="40" t="s">
        <v>750</v>
      </c>
      <c r="B139" s="39" t="s">
        <v>747</v>
      </c>
      <c r="C139" s="40">
        <v>20130947</v>
      </c>
      <c r="D139" s="40" t="s">
        <v>94</v>
      </c>
      <c r="E139" s="40" t="s">
        <v>7</v>
      </c>
      <c r="F139" s="72">
        <v>1</v>
      </c>
    </row>
    <row r="140" s="40" customFormat="1" spans="1:6">
      <c r="A140" s="40" t="s">
        <v>750</v>
      </c>
      <c r="B140" s="39" t="s">
        <v>747</v>
      </c>
      <c r="C140" s="40">
        <v>20130948</v>
      </c>
      <c r="D140" s="40" t="s">
        <v>94</v>
      </c>
      <c r="E140" s="40" t="s">
        <v>7</v>
      </c>
      <c r="F140" s="72">
        <v>1</v>
      </c>
    </row>
    <row r="141" s="40" customFormat="1" spans="1:6">
      <c r="A141" s="40" t="s">
        <v>750</v>
      </c>
      <c r="B141" s="39" t="s">
        <v>747</v>
      </c>
      <c r="C141" s="40">
        <v>20130949</v>
      </c>
      <c r="D141" s="40" t="s">
        <v>94</v>
      </c>
      <c r="E141" s="40" t="s">
        <v>7</v>
      </c>
      <c r="F141" s="72">
        <v>1</v>
      </c>
    </row>
    <row r="142" s="40" customFormat="1" spans="1:6">
      <c r="A142" s="40" t="s">
        <v>750</v>
      </c>
      <c r="B142" s="39" t="s">
        <v>747</v>
      </c>
      <c r="C142" s="40">
        <v>20130950</v>
      </c>
      <c r="D142" s="40" t="s">
        <v>94</v>
      </c>
      <c r="E142" s="40" t="s">
        <v>7</v>
      </c>
      <c r="F142" s="72">
        <v>1</v>
      </c>
    </row>
    <row r="143" s="40" customFormat="1" spans="1:6">
      <c r="A143" s="40" t="s">
        <v>750</v>
      </c>
      <c r="B143" s="39" t="s">
        <v>747</v>
      </c>
      <c r="C143" s="40">
        <v>20130951</v>
      </c>
      <c r="D143" s="40" t="s">
        <v>94</v>
      </c>
      <c r="E143" s="40" t="s">
        <v>7</v>
      </c>
      <c r="F143" s="72">
        <v>1</v>
      </c>
    </row>
    <row r="144" s="40" customFormat="1" spans="1:6">
      <c r="A144" s="40" t="s">
        <v>750</v>
      </c>
      <c r="B144" s="39" t="s">
        <v>747</v>
      </c>
      <c r="C144" s="40">
        <v>20130952</v>
      </c>
      <c r="D144" s="40" t="s">
        <v>94</v>
      </c>
      <c r="E144" s="40" t="s">
        <v>7</v>
      </c>
      <c r="F144" s="72">
        <v>1</v>
      </c>
    </row>
    <row r="145" s="40" customFormat="1" spans="1:6">
      <c r="A145" s="40" t="s">
        <v>750</v>
      </c>
      <c r="B145" s="39" t="s">
        <v>747</v>
      </c>
      <c r="C145" s="40">
        <v>20130953</v>
      </c>
      <c r="D145" s="40" t="s">
        <v>94</v>
      </c>
      <c r="E145" s="40" t="s">
        <v>7</v>
      </c>
      <c r="F145" s="72">
        <v>1</v>
      </c>
    </row>
    <row r="146" s="40" customFormat="1" spans="1:6">
      <c r="A146" s="40" t="s">
        <v>750</v>
      </c>
      <c r="B146" s="39" t="s">
        <v>747</v>
      </c>
      <c r="C146" s="40">
        <v>20130954</v>
      </c>
      <c r="D146" s="40" t="s">
        <v>94</v>
      </c>
      <c r="E146" s="40" t="s">
        <v>7</v>
      </c>
      <c r="F146" s="72">
        <v>1</v>
      </c>
    </row>
    <row r="147" s="40" customFormat="1" spans="1:6">
      <c r="A147" s="40" t="s">
        <v>750</v>
      </c>
      <c r="B147" s="39" t="s">
        <v>747</v>
      </c>
      <c r="C147" s="40">
        <v>20130955</v>
      </c>
      <c r="D147" s="40" t="s">
        <v>94</v>
      </c>
      <c r="E147" s="40" t="s">
        <v>7</v>
      </c>
      <c r="F147" s="72">
        <v>1</v>
      </c>
    </row>
    <row r="148" s="40" customFormat="1" spans="1:6">
      <c r="A148" s="40" t="s">
        <v>750</v>
      </c>
      <c r="B148" s="39" t="s">
        <v>747</v>
      </c>
      <c r="C148" s="40">
        <v>20130956</v>
      </c>
      <c r="D148" s="40" t="s">
        <v>94</v>
      </c>
      <c r="E148" s="40" t="s">
        <v>7</v>
      </c>
      <c r="F148" s="72">
        <v>1</v>
      </c>
    </row>
    <row r="149" s="40" customFormat="1" spans="1:6">
      <c r="A149" s="40" t="s">
        <v>750</v>
      </c>
      <c r="B149" s="39" t="s">
        <v>747</v>
      </c>
      <c r="C149" s="40">
        <v>20130957</v>
      </c>
      <c r="D149" s="40" t="s">
        <v>94</v>
      </c>
      <c r="E149" s="40" t="s">
        <v>7</v>
      </c>
      <c r="F149" s="72">
        <v>1</v>
      </c>
    </row>
    <row r="150" s="40" customFormat="1" spans="1:6">
      <c r="A150" s="40" t="s">
        <v>750</v>
      </c>
      <c r="B150" s="39" t="s">
        <v>747</v>
      </c>
      <c r="C150" s="40">
        <v>20130958</v>
      </c>
      <c r="D150" s="40" t="s">
        <v>94</v>
      </c>
      <c r="E150" s="40" t="s">
        <v>7</v>
      </c>
      <c r="F150" s="72">
        <v>1</v>
      </c>
    </row>
    <row r="151" s="40" customFormat="1" spans="1:6">
      <c r="A151" s="40" t="s">
        <v>750</v>
      </c>
      <c r="B151" s="39" t="s">
        <v>747</v>
      </c>
      <c r="C151" s="40">
        <v>20130959</v>
      </c>
      <c r="D151" s="40" t="s">
        <v>94</v>
      </c>
      <c r="E151" s="40" t="s">
        <v>7</v>
      </c>
      <c r="F151" s="72">
        <v>1</v>
      </c>
    </row>
    <row r="152" s="40" customFormat="1" spans="1:6">
      <c r="A152" s="40" t="s">
        <v>750</v>
      </c>
      <c r="B152" s="39" t="s">
        <v>747</v>
      </c>
      <c r="C152" s="40">
        <v>20130960</v>
      </c>
      <c r="D152" s="40" t="s">
        <v>94</v>
      </c>
      <c r="E152" s="40" t="s">
        <v>7</v>
      </c>
      <c r="F152" s="72">
        <v>1</v>
      </c>
    </row>
    <row r="153" s="40" customFormat="1" spans="1:6">
      <c r="A153" s="40" t="s">
        <v>750</v>
      </c>
      <c r="B153" s="39" t="s">
        <v>747</v>
      </c>
      <c r="C153" s="40">
        <v>20130961</v>
      </c>
      <c r="D153" s="40" t="s">
        <v>94</v>
      </c>
      <c r="E153" s="40" t="s">
        <v>7</v>
      </c>
      <c r="F153" s="72">
        <v>1</v>
      </c>
    </row>
    <row r="154" s="40" customFormat="1" spans="1:6">
      <c r="A154" s="40" t="s">
        <v>750</v>
      </c>
      <c r="B154" s="39" t="s">
        <v>747</v>
      </c>
      <c r="C154" s="40">
        <v>20130962</v>
      </c>
      <c r="D154" s="40" t="s">
        <v>94</v>
      </c>
      <c r="E154" s="40" t="s">
        <v>7</v>
      </c>
      <c r="F154" s="72">
        <v>1</v>
      </c>
    </row>
    <row r="155" s="40" customFormat="1" spans="1:6">
      <c r="A155" s="40" t="s">
        <v>750</v>
      </c>
      <c r="B155" s="39" t="s">
        <v>747</v>
      </c>
      <c r="C155" s="40">
        <v>20130964</v>
      </c>
      <c r="D155" s="40" t="s">
        <v>789</v>
      </c>
      <c r="E155" s="40" t="s">
        <v>7</v>
      </c>
      <c r="F155" s="72">
        <v>1</v>
      </c>
    </row>
    <row r="156" s="40" customFormat="1" spans="1:6">
      <c r="A156" s="40" t="s">
        <v>750</v>
      </c>
      <c r="B156" s="39" t="s">
        <v>747</v>
      </c>
      <c r="C156" s="40">
        <v>20130965</v>
      </c>
      <c r="D156" s="40" t="s">
        <v>789</v>
      </c>
      <c r="E156" s="40" t="s">
        <v>7</v>
      </c>
      <c r="F156" s="72">
        <v>1</v>
      </c>
    </row>
    <row r="157" s="40" customFormat="1" spans="1:6">
      <c r="A157" s="40" t="s">
        <v>750</v>
      </c>
      <c r="B157" s="39" t="s">
        <v>747</v>
      </c>
      <c r="C157" s="40">
        <v>20130966</v>
      </c>
      <c r="D157" s="40" t="s">
        <v>789</v>
      </c>
      <c r="E157" s="40" t="s">
        <v>7</v>
      </c>
      <c r="F157" s="72">
        <v>1</v>
      </c>
    </row>
    <row r="158" s="40" customFormat="1" spans="1:6">
      <c r="A158" s="40" t="s">
        <v>750</v>
      </c>
      <c r="B158" s="39" t="s">
        <v>747</v>
      </c>
      <c r="C158" s="40">
        <v>20130967</v>
      </c>
      <c r="D158" s="40" t="s">
        <v>789</v>
      </c>
      <c r="E158" s="40" t="s">
        <v>7</v>
      </c>
      <c r="F158" s="72">
        <v>1</v>
      </c>
    </row>
    <row r="159" s="40" customFormat="1" spans="1:6">
      <c r="A159" s="40" t="s">
        <v>750</v>
      </c>
      <c r="B159" s="39" t="s">
        <v>747</v>
      </c>
      <c r="C159" s="40">
        <v>20130968</v>
      </c>
      <c r="D159" s="40" t="s">
        <v>789</v>
      </c>
      <c r="E159" s="40" t="s">
        <v>7</v>
      </c>
      <c r="F159" s="72">
        <v>1</v>
      </c>
    </row>
    <row r="160" s="40" customFormat="1" spans="1:6">
      <c r="A160" s="40" t="s">
        <v>750</v>
      </c>
      <c r="B160" s="39" t="s">
        <v>747</v>
      </c>
      <c r="C160" s="40">
        <v>20130969</v>
      </c>
      <c r="D160" s="40" t="s">
        <v>789</v>
      </c>
      <c r="E160" s="40" t="s">
        <v>7</v>
      </c>
      <c r="F160" s="72">
        <v>1</v>
      </c>
    </row>
    <row r="161" s="40" customFormat="1" spans="1:6">
      <c r="A161" s="40" t="s">
        <v>750</v>
      </c>
      <c r="B161" s="39" t="s">
        <v>747</v>
      </c>
      <c r="C161" s="40">
        <v>20130970</v>
      </c>
      <c r="D161" s="40" t="s">
        <v>789</v>
      </c>
      <c r="E161" s="40" t="s">
        <v>7</v>
      </c>
      <c r="F161" s="72">
        <v>1</v>
      </c>
    </row>
    <row r="162" s="40" customFormat="1" spans="1:6">
      <c r="A162" s="40" t="s">
        <v>750</v>
      </c>
      <c r="B162" s="39" t="s">
        <v>747</v>
      </c>
      <c r="C162" s="40">
        <v>20130971</v>
      </c>
      <c r="D162" s="40" t="s">
        <v>789</v>
      </c>
      <c r="E162" s="40" t="s">
        <v>7</v>
      </c>
      <c r="F162" s="72">
        <v>1</v>
      </c>
    </row>
    <row r="163" s="40" customFormat="1" spans="1:6">
      <c r="A163" s="40" t="s">
        <v>750</v>
      </c>
      <c r="B163" s="39" t="s">
        <v>747</v>
      </c>
      <c r="C163" s="40">
        <v>20130972</v>
      </c>
      <c r="D163" s="40" t="s">
        <v>790</v>
      </c>
      <c r="E163" s="40" t="s">
        <v>7</v>
      </c>
      <c r="F163" s="72">
        <v>1</v>
      </c>
    </row>
    <row r="164" s="40" customFormat="1" spans="1:6">
      <c r="A164" s="40" t="s">
        <v>750</v>
      </c>
      <c r="B164" s="39" t="s">
        <v>747</v>
      </c>
      <c r="C164" s="40">
        <v>20130973</v>
      </c>
      <c r="D164" s="40" t="s">
        <v>791</v>
      </c>
      <c r="E164" s="40" t="s">
        <v>7</v>
      </c>
      <c r="F164" s="72">
        <v>1</v>
      </c>
    </row>
    <row r="165" s="40" customFormat="1" spans="1:6">
      <c r="A165" s="40" t="s">
        <v>750</v>
      </c>
      <c r="B165" s="39" t="s">
        <v>747</v>
      </c>
      <c r="C165" s="40">
        <v>20130974</v>
      </c>
      <c r="D165" s="40" t="s">
        <v>792</v>
      </c>
      <c r="E165" s="40" t="s">
        <v>7</v>
      </c>
      <c r="F165" s="72">
        <v>1</v>
      </c>
    </row>
    <row r="166" s="40" customFormat="1" spans="1:6">
      <c r="A166" s="40" t="s">
        <v>750</v>
      </c>
      <c r="B166" s="39" t="s">
        <v>747</v>
      </c>
      <c r="C166" s="40">
        <v>20130975</v>
      </c>
      <c r="D166" s="40" t="s">
        <v>793</v>
      </c>
      <c r="E166" s="40" t="s">
        <v>7</v>
      </c>
      <c r="F166" s="72">
        <v>1</v>
      </c>
    </row>
    <row r="167" s="40" customFormat="1" spans="1:6">
      <c r="A167" s="40" t="s">
        <v>750</v>
      </c>
      <c r="B167" s="39" t="s">
        <v>747</v>
      </c>
      <c r="C167" s="40">
        <v>20130976</v>
      </c>
      <c r="D167" s="40" t="s">
        <v>793</v>
      </c>
      <c r="E167" s="40" t="s">
        <v>7</v>
      </c>
      <c r="F167" s="72">
        <v>1</v>
      </c>
    </row>
    <row r="168" s="40" customFormat="1" spans="1:6">
      <c r="A168" s="40" t="s">
        <v>750</v>
      </c>
      <c r="B168" s="39" t="s">
        <v>747</v>
      </c>
      <c r="C168" s="40">
        <v>20130977</v>
      </c>
      <c r="D168" s="40" t="s">
        <v>793</v>
      </c>
      <c r="E168" s="40" t="s">
        <v>7</v>
      </c>
      <c r="F168" s="72">
        <v>1</v>
      </c>
    </row>
    <row r="169" s="40" customFormat="1" spans="1:6">
      <c r="A169" s="40" t="s">
        <v>750</v>
      </c>
      <c r="B169" s="39" t="s">
        <v>747</v>
      </c>
      <c r="C169" s="40">
        <v>20130978</v>
      </c>
      <c r="D169" s="40" t="s">
        <v>793</v>
      </c>
      <c r="E169" s="40" t="s">
        <v>7</v>
      </c>
      <c r="F169" s="72">
        <v>1</v>
      </c>
    </row>
    <row r="170" s="40" customFormat="1" spans="1:6">
      <c r="A170" s="40" t="s">
        <v>750</v>
      </c>
      <c r="B170" s="39" t="s">
        <v>747</v>
      </c>
      <c r="C170" s="40">
        <v>20130979</v>
      </c>
      <c r="D170" s="40" t="s">
        <v>794</v>
      </c>
      <c r="E170" s="40" t="s">
        <v>7</v>
      </c>
      <c r="F170" s="72">
        <v>1</v>
      </c>
    </row>
    <row r="171" s="40" customFormat="1" spans="1:6">
      <c r="A171" s="40" t="s">
        <v>750</v>
      </c>
      <c r="B171" s="39" t="s">
        <v>747</v>
      </c>
      <c r="C171" s="40">
        <v>20130980</v>
      </c>
      <c r="D171" s="40" t="s">
        <v>794</v>
      </c>
      <c r="E171" s="40" t="s">
        <v>7</v>
      </c>
      <c r="F171" s="72">
        <v>1</v>
      </c>
    </row>
    <row r="172" s="40" customFormat="1" spans="1:6">
      <c r="A172" s="40" t="s">
        <v>750</v>
      </c>
      <c r="B172" s="39" t="s">
        <v>747</v>
      </c>
      <c r="C172" s="40">
        <v>20130981</v>
      </c>
      <c r="D172" s="40" t="s">
        <v>794</v>
      </c>
      <c r="E172" s="40" t="s">
        <v>7</v>
      </c>
      <c r="F172" s="72">
        <v>1</v>
      </c>
    </row>
    <row r="173" s="40" customFormat="1" spans="1:6">
      <c r="A173" s="40" t="s">
        <v>750</v>
      </c>
      <c r="B173" s="39" t="s">
        <v>747</v>
      </c>
      <c r="C173" s="40">
        <v>20130982</v>
      </c>
      <c r="D173" s="40" t="s">
        <v>794</v>
      </c>
      <c r="E173" s="40" t="s">
        <v>7</v>
      </c>
      <c r="F173" s="72">
        <v>1</v>
      </c>
    </row>
    <row r="174" s="40" customFormat="1" spans="1:6">
      <c r="A174" s="40" t="s">
        <v>750</v>
      </c>
      <c r="B174" s="39" t="s">
        <v>747</v>
      </c>
      <c r="C174" s="40">
        <v>20130983</v>
      </c>
      <c r="D174" s="40" t="s">
        <v>794</v>
      </c>
      <c r="E174" s="40" t="s">
        <v>7</v>
      </c>
      <c r="F174" s="72">
        <v>1</v>
      </c>
    </row>
    <row r="175" s="40" customFormat="1" spans="1:6">
      <c r="A175" s="40" t="s">
        <v>750</v>
      </c>
      <c r="B175" s="39" t="s">
        <v>747</v>
      </c>
      <c r="C175" s="40">
        <v>20130984</v>
      </c>
      <c r="D175" s="40" t="s">
        <v>794</v>
      </c>
      <c r="E175" s="40" t="s">
        <v>7</v>
      </c>
      <c r="F175" s="72">
        <v>1</v>
      </c>
    </row>
    <row r="176" s="40" customFormat="1" spans="1:6">
      <c r="A176" s="40" t="s">
        <v>750</v>
      </c>
      <c r="B176" s="39" t="s">
        <v>747</v>
      </c>
      <c r="C176" s="40">
        <v>20130985</v>
      </c>
      <c r="D176" s="40" t="s">
        <v>794</v>
      </c>
      <c r="E176" s="40" t="s">
        <v>7</v>
      </c>
      <c r="F176" s="72">
        <v>1</v>
      </c>
    </row>
    <row r="177" s="40" customFormat="1" spans="1:6">
      <c r="A177" s="40" t="s">
        <v>750</v>
      </c>
      <c r="B177" s="39" t="s">
        <v>747</v>
      </c>
      <c r="C177" s="40">
        <v>20130986</v>
      </c>
      <c r="D177" s="40" t="s">
        <v>794</v>
      </c>
      <c r="E177" s="40" t="s">
        <v>7</v>
      </c>
      <c r="F177" s="72">
        <v>1</v>
      </c>
    </row>
    <row r="178" s="40" customFormat="1" spans="1:6">
      <c r="A178" s="40" t="s">
        <v>750</v>
      </c>
      <c r="B178" s="39" t="s">
        <v>747</v>
      </c>
      <c r="C178" s="40">
        <v>20130987</v>
      </c>
      <c r="D178" s="40" t="s">
        <v>795</v>
      </c>
      <c r="E178" s="40" t="s">
        <v>7</v>
      </c>
      <c r="F178" s="72">
        <v>1</v>
      </c>
    </row>
    <row r="179" s="40" customFormat="1" spans="1:6">
      <c r="A179" s="40" t="s">
        <v>750</v>
      </c>
      <c r="B179" s="39" t="s">
        <v>747</v>
      </c>
      <c r="C179" s="40">
        <v>20130988</v>
      </c>
      <c r="D179" s="40" t="s">
        <v>796</v>
      </c>
      <c r="E179" s="40" t="s">
        <v>7</v>
      </c>
      <c r="F179" s="72">
        <v>1</v>
      </c>
    </row>
    <row r="180" s="40" customFormat="1" spans="1:6">
      <c r="A180" s="40" t="s">
        <v>750</v>
      </c>
      <c r="B180" s="39" t="s">
        <v>747</v>
      </c>
      <c r="C180" s="40">
        <v>20130989</v>
      </c>
      <c r="D180" s="40" t="s">
        <v>796</v>
      </c>
      <c r="E180" s="40" t="s">
        <v>7</v>
      </c>
      <c r="F180" s="72">
        <v>1</v>
      </c>
    </row>
    <row r="181" s="40" customFormat="1" spans="1:6">
      <c r="A181" s="40" t="s">
        <v>750</v>
      </c>
      <c r="B181" s="39" t="s">
        <v>747</v>
      </c>
      <c r="C181" s="40">
        <v>20130990</v>
      </c>
      <c r="D181" s="40" t="s">
        <v>796</v>
      </c>
      <c r="E181" s="40" t="s">
        <v>7</v>
      </c>
      <c r="F181" s="72">
        <v>1</v>
      </c>
    </row>
    <row r="182" s="40" customFormat="1" spans="1:6">
      <c r="A182" s="40" t="s">
        <v>750</v>
      </c>
      <c r="B182" s="39" t="s">
        <v>747</v>
      </c>
      <c r="C182" s="40">
        <v>20130991</v>
      </c>
      <c r="D182" s="40" t="s">
        <v>796</v>
      </c>
      <c r="E182" s="40" t="s">
        <v>7</v>
      </c>
      <c r="F182" s="72">
        <v>1</v>
      </c>
    </row>
    <row r="183" s="40" customFormat="1" spans="1:6">
      <c r="A183" s="40" t="s">
        <v>750</v>
      </c>
      <c r="B183" s="39" t="s">
        <v>747</v>
      </c>
      <c r="C183" s="40">
        <v>20130992</v>
      </c>
      <c r="D183" s="40" t="s">
        <v>796</v>
      </c>
      <c r="E183" s="40" t="s">
        <v>7</v>
      </c>
      <c r="F183" s="72">
        <v>1</v>
      </c>
    </row>
    <row r="184" s="40" customFormat="1" spans="1:6">
      <c r="A184" s="40" t="s">
        <v>750</v>
      </c>
      <c r="B184" s="39" t="s">
        <v>747</v>
      </c>
      <c r="C184" s="40">
        <v>20130993</v>
      </c>
      <c r="D184" s="40" t="s">
        <v>796</v>
      </c>
      <c r="E184" s="40" t="s">
        <v>7</v>
      </c>
      <c r="F184" s="72">
        <v>1</v>
      </c>
    </row>
    <row r="185" s="40" customFormat="1" spans="1:6">
      <c r="A185" s="40" t="s">
        <v>750</v>
      </c>
      <c r="B185" s="39" t="s">
        <v>747</v>
      </c>
      <c r="C185" s="40">
        <v>20130994</v>
      </c>
      <c r="D185" s="40" t="s">
        <v>796</v>
      </c>
      <c r="E185" s="40" t="s">
        <v>7</v>
      </c>
      <c r="F185" s="72">
        <v>1</v>
      </c>
    </row>
    <row r="186" s="40" customFormat="1" spans="1:6">
      <c r="A186" s="40" t="s">
        <v>750</v>
      </c>
      <c r="B186" s="39" t="s">
        <v>747</v>
      </c>
      <c r="C186" s="40">
        <v>20130995</v>
      </c>
      <c r="D186" s="40" t="s">
        <v>796</v>
      </c>
      <c r="E186" s="40" t="s">
        <v>7</v>
      </c>
      <c r="F186" s="72">
        <v>1</v>
      </c>
    </row>
    <row r="187" s="40" customFormat="1" spans="1:6">
      <c r="A187" s="40" t="s">
        <v>750</v>
      </c>
      <c r="B187" s="39" t="s">
        <v>747</v>
      </c>
      <c r="C187" s="40">
        <v>20130996</v>
      </c>
      <c r="D187" s="40" t="s">
        <v>797</v>
      </c>
      <c r="E187" s="40" t="s">
        <v>7</v>
      </c>
      <c r="F187" s="72">
        <v>1</v>
      </c>
    </row>
    <row r="188" s="40" customFormat="1" spans="1:6">
      <c r="A188" s="40" t="s">
        <v>750</v>
      </c>
      <c r="B188" s="39" t="s">
        <v>747</v>
      </c>
      <c r="C188" s="40">
        <v>20130997</v>
      </c>
      <c r="D188" s="40" t="s">
        <v>798</v>
      </c>
      <c r="E188" s="40" t="s">
        <v>7</v>
      </c>
      <c r="F188" s="72">
        <v>1</v>
      </c>
    </row>
    <row r="189" s="40" customFormat="1" spans="1:6">
      <c r="A189" s="40" t="s">
        <v>750</v>
      </c>
      <c r="B189" s="39" t="s">
        <v>747</v>
      </c>
      <c r="C189" s="40">
        <v>20130998</v>
      </c>
      <c r="D189" s="40" t="s">
        <v>798</v>
      </c>
      <c r="E189" s="40" t="s">
        <v>7</v>
      </c>
      <c r="F189" s="72">
        <v>1</v>
      </c>
    </row>
    <row r="190" s="40" customFormat="1" spans="1:6">
      <c r="A190" s="40" t="s">
        <v>750</v>
      </c>
      <c r="B190" s="39" t="s">
        <v>747</v>
      </c>
      <c r="C190" s="40">
        <v>20130999</v>
      </c>
      <c r="D190" s="40" t="s">
        <v>798</v>
      </c>
      <c r="E190" s="40" t="s">
        <v>7</v>
      </c>
      <c r="F190" s="72">
        <v>1</v>
      </c>
    </row>
    <row r="191" s="40" customFormat="1" spans="1:6">
      <c r="A191" s="40" t="s">
        <v>750</v>
      </c>
      <c r="B191" s="39" t="s">
        <v>747</v>
      </c>
      <c r="C191" s="40">
        <v>20131000</v>
      </c>
      <c r="D191" s="40" t="s">
        <v>798</v>
      </c>
      <c r="E191" s="40" t="s">
        <v>7</v>
      </c>
      <c r="F191" s="72">
        <v>1</v>
      </c>
    </row>
    <row r="192" s="40" customFormat="1" spans="1:6">
      <c r="A192" s="40" t="s">
        <v>750</v>
      </c>
      <c r="B192" s="39" t="s">
        <v>747</v>
      </c>
      <c r="C192" s="40">
        <v>20131001</v>
      </c>
      <c r="D192" s="40" t="s">
        <v>798</v>
      </c>
      <c r="E192" s="40" t="s">
        <v>7</v>
      </c>
      <c r="F192" s="72">
        <v>1</v>
      </c>
    </row>
    <row r="193" s="40" customFormat="1" spans="1:6">
      <c r="A193" s="40" t="s">
        <v>750</v>
      </c>
      <c r="B193" s="39" t="s">
        <v>747</v>
      </c>
      <c r="C193" s="40">
        <v>20131002</v>
      </c>
      <c r="D193" s="40" t="s">
        <v>798</v>
      </c>
      <c r="E193" s="40" t="s">
        <v>7</v>
      </c>
      <c r="F193" s="72">
        <v>1</v>
      </c>
    </row>
    <row r="194" s="40" customFormat="1" spans="1:6">
      <c r="A194" s="40" t="s">
        <v>750</v>
      </c>
      <c r="B194" s="39" t="s">
        <v>747</v>
      </c>
      <c r="C194" s="40">
        <v>20131003</v>
      </c>
      <c r="D194" s="40" t="s">
        <v>798</v>
      </c>
      <c r="E194" s="40" t="s">
        <v>7</v>
      </c>
      <c r="F194" s="72">
        <v>1</v>
      </c>
    </row>
    <row r="195" s="40" customFormat="1" spans="1:6">
      <c r="A195" s="40" t="s">
        <v>750</v>
      </c>
      <c r="B195" s="39" t="s">
        <v>747</v>
      </c>
      <c r="C195" s="40">
        <v>20131004</v>
      </c>
      <c r="D195" s="40" t="s">
        <v>798</v>
      </c>
      <c r="E195" s="40" t="s">
        <v>7</v>
      </c>
      <c r="F195" s="72">
        <v>1</v>
      </c>
    </row>
    <row r="196" s="40" customFormat="1" spans="1:6">
      <c r="A196" s="40" t="s">
        <v>750</v>
      </c>
      <c r="B196" s="39" t="s">
        <v>747</v>
      </c>
      <c r="C196" s="40">
        <v>20131005</v>
      </c>
      <c r="D196" s="40" t="s">
        <v>799</v>
      </c>
      <c r="E196" s="40" t="s">
        <v>7</v>
      </c>
      <c r="F196" s="72">
        <v>1</v>
      </c>
    </row>
    <row r="197" s="40" customFormat="1" spans="1:6">
      <c r="A197" s="40" t="s">
        <v>750</v>
      </c>
      <c r="B197" s="39" t="s">
        <v>747</v>
      </c>
      <c r="C197" s="40">
        <v>20131006</v>
      </c>
      <c r="D197" s="40" t="s">
        <v>799</v>
      </c>
      <c r="E197" s="40" t="s">
        <v>7</v>
      </c>
      <c r="F197" s="72">
        <v>1</v>
      </c>
    </row>
    <row r="198" s="40" customFormat="1" spans="1:6">
      <c r="A198" s="40" t="s">
        <v>750</v>
      </c>
      <c r="B198" s="39" t="s">
        <v>747</v>
      </c>
      <c r="C198" s="40">
        <v>20131007</v>
      </c>
      <c r="D198" s="40" t="s">
        <v>799</v>
      </c>
      <c r="E198" s="40" t="s">
        <v>7</v>
      </c>
      <c r="F198" s="72">
        <v>1</v>
      </c>
    </row>
    <row r="199" s="40" customFormat="1" spans="1:6">
      <c r="A199" s="40" t="s">
        <v>750</v>
      </c>
      <c r="B199" s="39" t="s">
        <v>747</v>
      </c>
      <c r="C199" s="40">
        <v>20131008</v>
      </c>
      <c r="D199" s="40" t="s">
        <v>799</v>
      </c>
      <c r="E199" s="40" t="s">
        <v>7</v>
      </c>
      <c r="F199" s="72">
        <v>1</v>
      </c>
    </row>
    <row r="200" s="40" customFormat="1" spans="1:6">
      <c r="A200" s="40" t="s">
        <v>750</v>
      </c>
      <c r="B200" s="39" t="s">
        <v>747</v>
      </c>
      <c r="C200" s="40">
        <v>20131009</v>
      </c>
      <c r="D200" s="40" t="s">
        <v>799</v>
      </c>
      <c r="E200" s="40" t="s">
        <v>7</v>
      </c>
      <c r="F200" s="72">
        <v>1</v>
      </c>
    </row>
    <row r="201" s="40" customFormat="1" spans="1:6">
      <c r="A201" s="40" t="s">
        <v>750</v>
      </c>
      <c r="B201" s="39" t="s">
        <v>747</v>
      </c>
      <c r="C201" s="40">
        <v>20131010</v>
      </c>
      <c r="D201" s="40" t="s">
        <v>799</v>
      </c>
      <c r="E201" s="40" t="s">
        <v>7</v>
      </c>
      <c r="F201" s="72">
        <v>1</v>
      </c>
    </row>
    <row r="202" s="40" customFormat="1" spans="1:6">
      <c r="A202" s="40" t="s">
        <v>750</v>
      </c>
      <c r="B202" s="39" t="s">
        <v>747</v>
      </c>
      <c r="C202" s="40">
        <v>20131011</v>
      </c>
      <c r="D202" s="40" t="s">
        <v>799</v>
      </c>
      <c r="E202" s="40" t="s">
        <v>7</v>
      </c>
      <c r="F202" s="72">
        <v>1</v>
      </c>
    </row>
    <row r="203" s="40" customFormat="1" spans="1:6">
      <c r="A203" s="40" t="s">
        <v>750</v>
      </c>
      <c r="B203" s="39" t="s">
        <v>747</v>
      </c>
      <c r="C203" s="40">
        <v>20131012</v>
      </c>
      <c r="D203" s="40" t="s">
        <v>799</v>
      </c>
      <c r="E203" s="40" t="s">
        <v>7</v>
      </c>
      <c r="F203" s="72">
        <v>1</v>
      </c>
    </row>
    <row r="204" s="40" customFormat="1" spans="1:6">
      <c r="A204" s="40" t="s">
        <v>750</v>
      </c>
      <c r="B204" s="39" t="s">
        <v>747</v>
      </c>
      <c r="C204" s="40">
        <v>20131013</v>
      </c>
      <c r="D204" s="40" t="s">
        <v>799</v>
      </c>
      <c r="E204" s="40" t="s">
        <v>7</v>
      </c>
      <c r="F204" s="72">
        <v>1</v>
      </c>
    </row>
    <row r="205" s="40" customFormat="1" spans="1:6">
      <c r="A205" s="40" t="s">
        <v>750</v>
      </c>
      <c r="B205" s="39" t="s">
        <v>747</v>
      </c>
      <c r="C205" s="40">
        <v>20131014</v>
      </c>
      <c r="D205" s="40" t="s">
        <v>799</v>
      </c>
      <c r="E205" s="40" t="s">
        <v>7</v>
      </c>
      <c r="F205" s="72">
        <v>1</v>
      </c>
    </row>
    <row r="206" s="40" customFormat="1" spans="1:6">
      <c r="A206" s="40" t="s">
        <v>750</v>
      </c>
      <c r="B206" s="39" t="s">
        <v>747</v>
      </c>
      <c r="C206" s="40">
        <v>20131015</v>
      </c>
      <c r="D206" s="40" t="s">
        <v>800</v>
      </c>
      <c r="E206" s="40" t="s">
        <v>7</v>
      </c>
      <c r="F206" s="72">
        <v>1</v>
      </c>
    </row>
    <row r="207" s="40" customFormat="1" spans="1:6">
      <c r="A207" s="40" t="s">
        <v>750</v>
      </c>
      <c r="B207" s="39" t="s">
        <v>747</v>
      </c>
      <c r="C207" s="40">
        <v>20131016</v>
      </c>
      <c r="D207" s="40" t="s">
        <v>96</v>
      </c>
      <c r="E207" s="40" t="s">
        <v>7</v>
      </c>
      <c r="F207" s="72">
        <v>1</v>
      </c>
    </row>
    <row r="208" s="40" customFormat="1" spans="1:6">
      <c r="A208" s="40" t="s">
        <v>750</v>
      </c>
      <c r="B208" s="39" t="s">
        <v>747</v>
      </c>
      <c r="C208" s="40">
        <v>20131017</v>
      </c>
      <c r="D208" s="40" t="s">
        <v>96</v>
      </c>
      <c r="E208" s="40" t="s">
        <v>7</v>
      </c>
      <c r="F208" s="72">
        <v>1</v>
      </c>
    </row>
    <row r="209" s="40" customFormat="1" spans="1:6">
      <c r="A209" s="40" t="s">
        <v>750</v>
      </c>
      <c r="B209" s="39" t="s">
        <v>747</v>
      </c>
      <c r="C209" s="40">
        <v>20131018</v>
      </c>
      <c r="D209" s="40" t="s">
        <v>96</v>
      </c>
      <c r="E209" s="40" t="s">
        <v>7</v>
      </c>
      <c r="F209" s="72">
        <v>1</v>
      </c>
    </row>
    <row r="210" s="40" customFormat="1" spans="1:6">
      <c r="A210" s="40" t="s">
        <v>750</v>
      </c>
      <c r="B210" s="39" t="s">
        <v>747</v>
      </c>
      <c r="C210" s="40">
        <v>20131019</v>
      </c>
      <c r="D210" s="40" t="s">
        <v>96</v>
      </c>
      <c r="E210" s="40" t="s">
        <v>7</v>
      </c>
      <c r="F210" s="72">
        <v>1</v>
      </c>
    </row>
    <row r="211" s="40" customFormat="1" spans="1:6">
      <c r="A211" s="40" t="s">
        <v>750</v>
      </c>
      <c r="B211" s="39" t="s">
        <v>747</v>
      </c>
      <c r="C211" s="40">
        <v>20131020</v>
      </c>
      <c r="D211" s="40" t="s">
        <v>96</v>
      </c>
      <c r="E211" s="40" t="s">
        <v>7</v>
      </c>
      <c r="F211" s="72">
        <v>1</v>
      </c>
    </row>
    <row r="212" s="40" customFormat="1" spans="1:6">
      <c r="A212" s="40" t="s">
        <v>750</v>
      </c>
      <c r="B212" s="39" t="s">
        <v>747</v>
      </c>
      <c r="C212" s="40">
        <v>20131021</v>
      </c>
      <c r="D212" s="40" t="s">
        <v>96</v>
      </c>
      <c r="E212" s="40" t="s">
        <v>7</v>
      </c>
      <c r="F212" s="72">
        <v>1</v>
      </c>
    </row>
    <row r="213" s="40" customFormat="1" spans="1:6">
      <c r="A213" s="40" t="s">
        <v>750</v>
      </c>
      <c r="B213" s="39" t="s">
        <v>747</v>
      </c>
      <c r="C213" s="40">
        <v>20131022</v>
      </c>
      <c r="D213" s="40" t="s">
        <v>96</v>
      </c>
      <c r="E213" s="40" t="s">
        <v>7</v>
      </c>
      <c r="F213" s="72">
        <v>1</v>
      </c>
    </row>
    <row r="214" s="40" customFormat="1" spans="1:6">
      <c r="A214" s="40" t="s">
        <v>750</v>
      </c>
      <c r="B214" s="39" t="s">
        <v>747</v>
      </c>
      <c r="C214" s="40">
        <v>20131023</v>
      </c>
      <c r="D214" s="40" t="s">
        <v>96</v>
      </c>
      <c r="E214" s="40" t="s">
        <v>7</v>
      </c>
      <c r="F214" s="72">
        <v>1</v>
      </c>
    </row>
    <row r="215" s="40" customFormat="1" spans="1:6">
      <c r="A215" s="40" t="s">
        <v>750</v>
      </c>
      <c r="B215" s="39" t="s">
        <v>747</v>
      </c>
      <c r="C215" s="40">
        <v>20131024</v>
      </c>
      <c r="D215" s="40" t="s">
        <v>96</v>
      </c>
      <c r="E215" s="40" t="s">
        <v>7</v>
      </c>
      <c r="F215" s="72">
        <v>1</v>
      </c>
    </row>
    <row r="216" s="40" customFormat="1" spans="1:6">
      <c r="A216" s="40" t="s">
        <v>750</v>
      </c>
      <c r="B216" s="39" t="s">
        <v>747</v>
      </c>
      <c r="C216" s="40">
        <v>20131025</v>
      </c>
      <c r="D216" s="40" t="s">
        <v>96</v>
      </c>
      <c r="E216" s="40" t="s">
        <v>7</v>
      </c>
      <c r="F216" s="72">
        <v>1</v>
      </c>
    </row>
    <row r="217" s="40" customFormat="1" spans="1:6">
      <c r="A217" s="40" t="s">
        <v>750</v>
      </c>
      <c r="B217" s="39" t="s">
        <v>747</v>
      </c>
      <c r="C217" s="40">
        <v>20131026</v>
      </c>
      <c r="D217" s="40" t="s">
        <v>96</v>
      </c>
      <c r="E217" s="40" t="s">
        <v>7</v>
      </c>
      <c r="F217" s="72">
        <v>1</v>
      </c>
    </row>
    <row r="218" s="40" customFormat="1" spans="1:6">
      <c r="A218" s="40" t="s">
        <v>750</v>
      </c>
      <c r="B218" s="39" t="s">
        <v>747</v>
      </c>
      <c r="C218" s="40">
        <v>20131027</v>
      </c>
      <c r="D218" s="40" t="s">
        <v>96</v>
      </c>
      <c r="E218" s="40" t="s">
        <v>7</v>
      </c>
      <c r="F218" s="72">
        <v>1</v>
      </c>
    </row>
    <row r="219" s="40" customFormat="1" spans="1:6">
      <c r="A219" s="40" t="s">
        <v>750</v>
      </c>
      <c r="B219" s="39" t="s">
        <v>747</v>
      </c>
      <c r="C219" s="40">
        <v>20131028</v>
      </c>
      <c r="D219" s="40" t="s">
        <v>96</v>
      </c>
      <c r="E219" s="40" t="s">
        <v>7</v>
      </c>
      <c r="F219" s="72">
        <v>1</v>
      </c>
    </row>
    <row r="220" s="40" customFormat="1" spans="1:6">
      <c r="A220" s="40" t="s">
        <v>750</v>
      </c>
      <c r="B220" s="39" t="s">
        <v>747</v>
      </c>
      <c r="C220" s="40">
        <v>20131029</v>
      </c>
      <c r="D220" s="40" t="s">
        <v>96</v>
      </c>
      <c r="E220" s="40" t="s">
        <v>7</v>
      </c>
      <c r="F220" s="72">
        <v>1</v>
      </c>
    </row>
    <row r="221" s="40" customFormat="1" spans="1:6">
      <c r="A221" s="40" t="s">
        <v>750</v>
      </c>
      <c r="B221" s="39" t="s">
        <v>747</v>
      </c>
      <c r="C221" s="40">
        <v>20131030</v>
      </c>
      <c r="D221" s="40" t="s">
        <v>96</v>
      </c>
      <c r="E221" s="40" t="s">
        <v>7</v>
      </c>
      <c r="F221" s="72">
        <v>1</v>
      </c>
    </row>
    <row r="222" s="40" customFormat="1" spans="1:6">
      <c r="A222" s="40" t="s">
        <v>750</v>
      </c>
      <c r="B222" s="39" t="s">
        <v>747</v>
      </c>
      <c r="C222" s="40">
        <v>20131031</v>
      </c>
      <c r="D222" s="40" t="s">
        <v>96</v>
      </c>
      <c r="E222" s="40" t="s">
        <v>7</v>
      </c>
      <c r="F222" s="72">
        <v>1</v>
      </c>
    </row>
    <row r="223" s="40" customFormat="1" spans="1:6">
      <c r="A223" s="40" t="s">
        <v>750</v>
      </c>
      <c r="B223" s="39" t="s">
        <v>747</v>
      </c>
      <c r="C223" s="40">
        <v>20131032</v>
      </c>
      <c r="D223" s="40" t="s">
        <v>96</v>
      </c>
      <c r="E223" s="40" t="s">
        <v>7</v>
      </c>
      <c r="F223" s="72">
        <v>1</v>
      </c>
    </row>
    <row r="224" s="40" customFormat="1" spans="1:6">
      <c r="A224" s="40" t="s">
        <v>750</v>
      </c>
      <c r="B224" s="39" t="s">
        <v>747</v>
      </c>
      <c r="C224" s="40">
        <v>20131033</v>
      </c>
      <c r="D224" s="40" t="s">
        <v>96</v>
      </c>
      <c r="E224" s="40" t="s">
        <v>7</v>
      </c>
      <c r="F224" s="72">
        <v>1</v>
      </c>
    </row>
    <row r="225" s="40" customFormat="1" spans="1:6">
      <c r="A225" s="40" t="s">
        <v>750</v>
      </c>
      <c r="B225" s="39" t="s">
        <v>747</v>
      </c>
      <c r="C225" s="40">
        <v>20131034</v>
      </c>
      <c r="D225" s="40" t="s">
        <v>96</v>
      </c>
      <c r="E225" s="40" t="s">
        <v>7</v>
      </c>
      <c r="F225" s="72">
        <v>1</v>
      </c>
    </row>
    <row r="226" s="40" customFormat="1" spans="1:6">
      <c r="A226" s="40" t="s">
        <v>750</v>
      </c>
      <c r="B226" s="39" t="s">
        <v>747</v>
      </c>
      <c r="C226" s="40">
        <v>20131036</v>
      </c>
      <c r="D226" s="40" t="s">
        <v>96</v>
      </c>
      <c r="E226" s="40" t="s">
        <v>7</v>
      </c>
      <c r="F226" s="72">
        <v>1</v>
      </c>
    </row>
    <row r="227" s="40" customFormat="1" spans="1:6">
      <c r="A227" s="40" t="s">
        <v>750</v>
      </c>
      <c r="B227" s="39" t="s">
        <v>747</v>
      </c>
      <c r="C227" s="40">
        <v>20131037</v>
      </c>
      <c r="D227" s="40" t="s">
        <v>96</v>
      </c>
      <c r="E227" s="40" t="s">
        <v>7</v>
      </c>
      <c r="F227" s="72">
        <v>1</v>
      </c>
    </row>
    <row r="228" s="40" customFormat="1" spans="1:6">
      <c r="A228" s="40" t="s">
        <v>750</v>
      </c>
      <c r="B228" s="39" t="s">
        <v>747</v>
      </c>
      <c r="C228" s="40">
        <v>20131038</v>
      </c>
      <c r="D228" s="40" t="s">
        <v>96</v>
      </c>
      <c r="E228" s="40" t="s">
        <v>7</v>
      </c>
      <c r="F228" s="72">
        <v>1</v>
      </c>
    </row>
    <row r="229" s="40" customFormat="1" spans="1:6">
      <c r="A229" s="40" t="s">
        <v>750</v>
      </c>
      <c r="B229" s="39" t="s">
        <v>747</v>
      </c>
      <c r="C229" s="40">
        <v>20131039</v>
      </c>
      <c r="D229" s="40" t="s">
        <v>96</v>
      </c>
      <c r="E229" s="40" t="s">
        <v>7</v>
      </c>
      <c r="F229" s="72">
        <v>1</v>
      </c>
    </row>
    <row r="230" s="40" customFormat="1" spans="1:6">
      <c r="A230" s="40" t="s">
        <v>750</v>
      </c>
      <c r="B230" s="39" t="s">
        <v>747</v>
      </c>
      <c r="C230" s="40">
        <v>20131040</v>
      </c>
      <c r="D230" s="40" t="s">
        <v>96</v>
      </c>
      <c r="E230" s="40" t="s">
        <v>7</v>
      </c>
      <c r="F230" s="72">
        <v>1</v>
      </c>
    </row>
    <row r="231" s="40" customFormat="1" spans="1:6">
      <c r="A231" s="40" t="s">
        <v>750</v>
      </c>
      <c r="B231" s="39" t="s">
        <v>747</v>
      </c>
      <c r="C231" s="40">
        <v>20131042</v>
      </c>
      <c r="D231" s="40" t="s">
        <v>96</v>
      </c>
      <c r="E231" s="40" t="s">
        <v>7</v>
      </c>
      <c r="F231" s="72">
        <v>1</v>
      </c>
    </row>
    <row r="232" s="40" customFormat="1" spans="1:6">
      <c r="A232" s="40" t="s">
        <v>750</v>
      </c>
      <c r="B232" s="39" t="s">
        <v>747</v>
      </c>
      <c r="C232" s="40">
        <v>20131043</v>
      </c>
      <c r="D232" s="40" t="s">
        <v>96</v>
      </c>
      <c r="E232" s="40" t="s">
        <v>7</v>
      </c>
      <c r="F232" s="72">
        <v>1</v>
      </c>
    </row>
    <row r="233" s="40" customFormat="1" spans="1:6">
      <c r="A233" s="40" t="s">
        <v>750</v>
      </c>
      <c r="B233" s="39" t="s">
        <v>747</v>
      </c>
      <c r="C233" s="40">
        <v>20131044</v>
      </c>
      <c r="D233" s="40" t="s">
        <v>96</v>
      </c>
      <c r="E233" s="40" t="s">
        <v>7</v>
      </c>
      <c r="F233" s="72">
        <v>1</v>
      </c>
    </row>
    <row r="234" s="40" customFormat="1" spans="1:6">
      <c r="A234" s="40" t="s">
        <v>750</v>
      </c>
      <c r="B234" s="39" t="s">
        <v>747</v>
      </c>
      <c r="C234" s="40">
        <v>20131046</v>
      </c>
      <c r="D234" s="40" t="s">
        <v>96</v>
      </c>
      <c r="E234" s="40" t="s">
        <v>7</v>
      </c>
      <c r="F234" s="72">
        <v>1</v>
      </c>
    </row>
    <row r="235" s="40" customFormat="1" spans="1:6">
      <c r="A235" s="40" t="s">
        <v>750</v>
      </c>
      <c r="B235" s="39" t="s">
        <v>747</v>
      </c>
      <c r="C235" s="40">
        <v>20131047</v>
      </c>
      <c r="D235" s="40" t="s">
        <v>96</v>
      </c>
      <c r="E235" s="40" t="s">
        <v>7</v>
      </c>
      <c r="F235" s="72">
        <v>1</v>
      </c>
    </row>
    <row r="236" s="40" customFormat="1" spans="1:6">
      <c r="A236" s="40" t="s">
        <v>750</v>
      </c>
      <c r="B236" s="39" t="s">
        <v>747</v>
      </c>
      <c r="C236" s="40">
        <v>20131049</v>
      </c>
      <c r="D236" s="40" t="s">
        <v>96</v>
      </c>
      <c r="E236" s="40" t="s">
        <v>7</v>
      </c>
      <c r="F236" s="72">
        <v>1</v>
      </c>
    </row>
    <row r="237" s="40" customFormat="1" spans="1:6">
      <c r="A237" s="40" t="s">
        <v>750</v>
      </c>
      <c r="B237" s="39" t="s">
        <v>747</v>
      </c>
      <c r="C237" s="40">
        <v>20131050</v>
      </c>
      <c r="D237" s="40" t="s">
        <v>96</v>
      </c>
      <c r="E237" s="40" t="s">
        <v>7</v>
      </c>
      <c r="F237" s="72">
        <v>1</v>
      </c>
    </row>
    <row r="238" s="40" customFormat="1" spans="1:6">
      <c r="A238" s="40" t="s">
        <v>750</v>
      </c>
      <c r="B238" s="39" t="s">
        <v>747</v>
      </c>
      <c r="C238" s="40">
        <v>20131051</v>
      </c>
      <c r="D238" s="40" t="s">
        <v>96</v>
      </c>
      <c r="E238" s="40" t="s">
        <v>7</v>
      </c>
      <c r="F238" s="72">
        <v>1</v>
      </c>
    </row>
    <row r="239" s="40" customFormat="1" spans="1:6">
      <c r="A239" s="40" t="s">
        <v>750</v>
      </c>
      <c r="B239" s="39" t="s">
        <v>747</v>
      </c>
      <c r="C239" s="40">
        <v>20131052</v>
      </c>
      <c r="D239" s="40" t="s">
        <v>96</v>
      </c>
      <c r="E239" s="40" t="s">
        <v>7</v>
      </c>
      <c r="F239" s="72">
        <v>1</v>
      </c>
    </row>
    <row r="240" s="40" customFormat="1" spans="1:6">
      <c r="A240" s="40" t="s">
        <v>750</v>
      </c>
      <c r="B240" s="39" t="s">
        <v>747</v>
      </c>
      <c r="C240" s="40">
        <v>20131053</v>
      </c>
      <c r="D240" s="40" t="s">
        <v>96</v>
      </c>
      <c r="E240" s="40" t="s">
        <v>7</v>
      </c>
      <c r="F240" s="72">
        <v>1</v>
      </c>
    </row>
    <row r="241" s="40" customFormat="1" spans="1:6">
      <c r="A241" s="40" t="s">
        <v>750</v>
      </c>
      <c r="B241" s="39" t="s">
        <v>747</v>
      </c>
      <c r="C241" s="40">
        <v>20131054</v>
      </c>
      <c r="D241" s="40" t="s">
        <v>96</v>
      </c>
      <c r="E241" s="40" t="s">
        <v>7</v>
      </c>
      <c r="F241" s="72">
        <v>1</v>
      </c>
    </row>
    <row r="242" s="40" customFormat="1" spans="1:6">
      <c r="A242" s="40" t="s">
        <v>750</v>
      </c>
      <c r="B242" s="39" t="s">
        <v>747</v>
      </c>
      <c r="C242" s="40">
        <v>20131055</v>
      </c>
      <c r="D242" s="40" t="s">
        <v>96</v>
      </c>
      <c r="E242" s="40" t="s">
        <v>7</v>
      </c>
      <c r="F242" s="72">
        <v>1</v>
      </c>
    </row>
    <row r="243" s="40" customFormat="1" spans="1:6">
      <c r="A243" s="40" t="s">
        <v>750</v>
      </c>
      <c r="B243" s="39" t="s">
        <v>747</v>
      </c>
      <c r="C243" s="40">
        <v>20131056</v>
      </c>
      <c r="D243" s="40" t="s">
        <v>96</v>
      </c>
      <c r="E243" s="40" t="s">
        <v>7</v>
      </c>
      <c r="F243" s="72">
        <v>1</v>
      </c>
    </row>
    <row r="244" s="40" customFormat="1" spans="1:6">
      <c r="A244" s="40" t="s">
        <v>750</v>
      </c>
      <c r="B244" s="39" t="s">
        <v>747</v>
      </c>
      <c r="C244" s="40">
        <v>20131057</v>
      </c>
      <c r="D244" s="40" t="s">
        <v>96</v>
      </c>
      <c r="E244" s="40" t="s">
        <v>7</v>
      </c>
      <c r="F244" s="72">
        <v>1</v>
      </c>
    </row>
    <row r="245" s="40" customFormat="1" spans="1:6">
      <c r="A245" s="40" t="s">
        <v>750</v>
      </c>
      <c r="B245" s="39" t="s">
        <v>747</v>
      </c>
      <c r="C245" s="40">
        <v>20131058</v>
      </c>
      <c r="D245" s="40" t="s">
        <v>96</v>
      </c>
      <c r="E245" s="40" t="s">
        <v>7</v>
      </c>
      <c r="F245" s="72">
        <v>1</v>
      </c>
    </row>
    <row r="246" s="40" customFormat="1" spans="1:6">
      <c r="A246" s="40" t="s">
        <v>750</v>
      </c>
      <c r="B246" s="39" t="s">
        <v>747</v>
      </c>
      <c r="C246" s="40">
        <v>20131059</v>
      </c>
      <c r="D246" s="40" t="s">
        <v>96</v>
      </c>
      <c r="E246" s="40" t="s">
        <v>7</v>
      </c>
      <c r="F246" s="72">
        <v>1</v>
      </c>
    </row>
    <row r="247" s="40" customFormat="1" spans="1:6">
      <c r="A247" s="40" t="s">
        <v>750</v>
      </c>
      <c r="B247" s="39" t="s">
        <v>747</v>
      </c>
      <c r="C247" s="40">
        <v>20131060</v>
      </c>
      <c r="D247" s="40" t="s">
        <v>96</v>
      </c>
      <c r="E247" s="40" t="s">
        <v>7</v>
      </c>
      <c r="F247" s="72">
        <v>1</v>
      </c>
    </row>
    <row r="248" s="40" customFormat="1" spans="1:6">
      <c r="A248" s="40" t="s">
        <v>750</v>
      </c>
      <c r="B248" s="39" t="s">
        <v>747</v>
      </c>
      <c r="C248" s="40">
        <v>20131061</v>
      </c>
      <c r="D248" s="40" t="s">
        <v>96</v>
      </c>
      <c r="E248" s="40" t="s">
        <v>7</v>
      </c>
      <c r="F248" s="72">
        <v>1</v>
      </c>
    </row>
    <row r="249" s="40" customFormat="1" spans="1:6">
      <c r="A249" s="40" t="s">
        <v>750</v>
      </c>
      <c r="B249" s="39" t="s">
        <v>747</v>
      </c>
      <c r="C249" s="40">
        <v>20131062</v>
      </c>
      <c r="D249" s="40" t="s">
        <v>96</v>
      </c>
      <c r="E249" s="40" t="s">
        <v>7</v>
      </c>
      <c r="F249" s="72">
        <v>1</v>
      </c>
    </row>
    <row r="250" s="40" customFormat="1" spans="1:6">
      <c r="A250" s="40" t="s">
        <v>750</v>
      </c>
      <c r="B250" s="39" t="s">
        <v>747</v>
      </c>
      <c r="C250" s="40">
        <v>20131063</v>
      </c>
      <c r="D250" s="40" t="s">
        <v>96</v>
      </c>
      <c r="E250" s="40" t="s">
        <v>7</v>
      </c>
      <c r="F250" s="72">
        <v>1</v>
      </c>
    </row>
    <row r="251" s="40" customFormat="1" spans="1:6">
      <c r="A251" s="40" t="s">
        <v>750</v>
      </c>
      <c r="B251" s="39" t="s">
        <v>747</v>
      </c>
      <c r="C251" s="40">
        <v>20131064</v>
      </c>
      <c r="D251" s="40" t="s">
        <v>96</v>
      </c>
      <c r="E251" s="40" t="s">
        <v>7</v>
      </c>
      <c r="F251" s="72">
        <v>1</v>
      </c>
    </row>
    <row r="252" s="40" customFormat="1" spans="1:6">
      <c r="A252" s="40" t="s">
        <v>750</v>
      </c>
      <c r="B252" s="39" t="s">
        <v>747</v>
      </c>
      <c r="C252" s="40">
        <v>20131065</v>
      </c>
      <c r="D252" s="40" t="s">
        <v>96</v>
      </c>
      <c r="E252" s="40" t="s">
        <v>7</v>
      </c>
      <c r="F252" s="72">
        <v>1</v>
      </c>
    </row>
    <row r="253" s="40" customFormat="1" spans="1:6">
      <c r="A253" s="40" t="s">
        <v>750</v>
      </c>
      <c r="B253" s="39" t="s">
        <v>747</v>
      </c>
      <c r="C253" s="40">
        <v>20131066</v>
      </c>
      <c r="D253" s="40" t="s">
        <v>801</v>
      </c>
      <c r="E253" s="40" t="s">
        <v>7</v>
      </c>
      <c r="F253" s="72">
        <v>1</v>
      </c>
    </row>
    <row r="254" s="40" customFormat="1" spans="1:6">
      <c r="A254" s="40" t="s">
        <v>750</v>
      </c>
      <c r="B254" s="39" t="s">
        <v>747</v>
      </c>
      <c r="C254" s="40">
        <v>20140115</v>
      </c>
      <c r="D254" s="40" t="s">
        <v>802</v>
      </c>
      <c r="E254" s="40" t="s">
        <v>7</v>
      </c>
      <c r="F254" s="72">
        <v>1</v>
      </c>
    </row>
    <row r="255" s="40" customFormat="1" spans="1:6">
      <c r="A255" s="40" t="s">
        <v>750</v>
      </c>
      <c r="B255" s="39" t="s">
        <v>747</v>
      </c>
      <c r="C255" s="40">
        <v>20140116</v>
      </c>
      <c r="D255" s="40" t="s">
        <v>802</v>
      </c>
      <c r="E255" s="40" t="s">
        <v>7</v>
      </c>
      <c r="F255" s="72">
        <v>1</v>
      </c>
    </row>
    <row r="256" spans="1:6">
      <c r="A256" s="40" t="s">
        <v>750</v>
      </c>
      <c r="B256" s="39" t="s">
        <v>747</v>
      </c>
      <c r="C256" s="40">
        <v>20230402</v>
      </c>
      <c r="D256" s="40" t="s">
        <v>95</v>
      </c>
      <c r="E256" s="40" t="s">
        <v>7</v>
      </c>
      <c r="F256" s="72">
        <v>1</v>
      </c>
    </row>
    <row r="257" spans="1:6">
      <c r="A257" s="40" t="s">
        <v>750</v>
      </c>
      <c r="B257" s="39" t="s">
        <v>747</v>
      </c>
      <c r="C257" s="40">
        <v>20230450</v>
      </c>
      <c r="D257" s="40" t="s">
        <v>789</v>
      </c>
      <c r="E257" s="40" t="s">
        <v>7</v>
      </c>
      <c r="F257" s="72">
        <v>1</v>
      </c>
    </row>
    <row r="258" spans="1:6">
      <c r="A258" s="40" t="s">
        <v>750</v>
      </c>
      <c r="B258" s="39" t="s">
        <v>747</v>
      </c>
      <c r="C258" s="40">
        <v>20230451</v>
      </c>
      <c r="D258" s="40" t="s">
        <v>803</v>
      </c>
      <c r="E258" s="40" t="s">
        <v>7</v>
      </c>
      <c r="F258" s="72">
        <v>1</v>
      </c>
    </row>
    <row r="259" spans="1:6">
      <c r="A259" s="40" t="s">
        <v>750</v>
      </c>
      <c r="B259" s="39" t="s">
        <v>747</v>
      </c>
      <c r="C259" s="40">
        <v>20230452</v>
      </c>
      <c r="D259" s="40" t="s">
        <v>804</v>
      </c>
      <c r="E259" s="40" t="s">
        <v>7</v>
      </c>
      <c r="F259" s="72">
        <v>1</v>
      </c>
    </row>
    <row r="260" spans="1:6">
      <c r="A260" s="40" t="s">
        <v>750</v>
      </c>
      <c r="B260" s="39" t="s">
        <v>747</v>
      </c>
      <c r="C260" s="40">
        <v>20230453</v>
      </c>
      <c r="D260" s="40" t="s">
        <v>94</v>
      </c>
      <c r="E260" s="40" t="s">
        <v>7</v>
      </c>
      <c r="F260" s="72">
        <v>1</v>
      </c>
    </row>
    <row r="261" spans="1:6">
      <c r="A261" s="40" t="s">
        <v>750</v>
      </c>
      <c r="B261" s="39" t="s">
        <v>747</v>
      </c>
      <c r="C261" s="40">
        <v>20230454</v>
      </c>
      <c r="D261" s="40" t="s">
        <v>772</v>
      </c>
      <c r="E261" s="40" t="s">
        <v>7</v>
      </c>
      <c r="F261" s="72">
        <v>1</v>
      </c>
    </row>
    <row r="262" spans="1:6">
      <c r="A262" s="40" t="s">
        <v>750</v>
      </c>
      <c r="B262" s="39" t="s">
        <v>747</v>
      </c>
      <c r="C262" s="40">
        <v>20230455</v>
      </c>
      <c r="D262" s="40" t="s">
        <v>772</v>
      </c>
      <c r="E262" s="40" t="s">
        <v>7</v>
      </c>
      <c r="F262" s="72">
        <v>1</v>
      </c>
    </row>
    <row r="263" spans="1:6">
      <c r="A263" s="40" t="s">
        <v>750</v>
      </c>
      <c r="B263" s="39" t="s">
        <v>747</v>
      </c>
      <c r="C263" s="40">
        <v>20230456</v>
      </c>
      <c r="D263" s="40" t="s">
        <v>772</v>
      </c>
      <c r="E263" s="40" t="s">
        <v>7</v>
      </c>
      <c r="F263" s="72">
        <v>1</v>
      </c>
    </row>
    <row r="264" spans="1:6">
      <c r="A264" s="40" t="s">
        <v>750</v>
      </c>
      <c r="B264" s="39" t="s">
        <v>747</v>
      </c>
      <c r="C264" s="40">
        <v>20240310</v>
      </c>
      <c r="D264" s="40" t="s">
        <v>96</v>
      </c>
      <c r="E264" s="40" t="s">
        <v>7</v>
      </c>
      <c r="F264" s="72">
        <v>1</v>
      </c>
    </row>
    <row r="265" spans="1:6">
      <c r="A265" s="40" t="s">
        <v>750</v>
      </c>
      <c r="B265" s="39" t="s">
        <v>747</v>
      </c>
      <c r="C265" s="40">
        <v>20240311</v>
      </c>
      <c r="D265" s="40" t="s">
        <v>96</v>
      </c>
      <c r="E265" s="40" t="s">
        <v>7</v>
      </c>
      <c r="F265" s="72">
        <v>1</v>
      </c>
    </row>
    <row r="266" spans="1:6">
      <c r="A266" s="40" t="s">
        <v>750</v>
      </c>
      <c r="B266" s="39" t="s">
        <v>747</v>
      </c>
      <c r="C266" s="40">
        <v>20240312</v>
      </c>
      <c r="D266" s="40" t="s">
        <v>96</v>
      </c>
      <c r="E266" s="40" t="s">
        <v>7</v>
      </c>
      <c r="F266" s="72">
        <v>1</v>
      </c>
    </row>
    <row r="267" spans="1:6">
      <c r="A267" s="40" t="s">
        <v>750</v>
      </c>
      <c r="B267" s="39" t="s">
        <v>747</v>
      </c>
      <c r="C267" s="40">
        <v>20240313</v>
      </c>
      <c r="D267" s="40" t="s">
        <v>96</v>
      </c>
      <c r="E267" s="40" t="s">
        <v>7</v>
      </c>
      <c r="F267" s="72">
        <v>1</v>
      </c>
    </row>
    <row r="268" spans="1:6">
      <c r="A268" s="40" t="s">
        <v>750</v>
      </c>
      <c r="B268" s="39" t="s">
        <v>747</v>
      </c>
      <c r="C268" s="40">
        <v>20240314</v>
      </c>
      <c r="D268" s="40" t="s">
        <v>96</v>
      </c>
      <c r="E268" s="40" t="s">
        <v>7</v>
      </c>
      <c r="F268" s="72">
        <v>1</v>
      </c>
    </row>
    <row r="269" spans="1:6">
      <c r="A269" s="40" t="s">
        <v>750</v>
      </c>
      <c r="B269" s="39" t="s">
        <v>747</v>
      </c>
      <c r="C269" s="40">
        <v>20240315</v>
      </c>
      <c r="D269" s="40" t="s">
        <v>96</v>
      </c>
      <c r="E269" s="40" t="s">
        <v>7</v>
      </c>
      <c r="F269" s="72">
        <v>1</v>
      </c>
    </row>
    <row r="270" spans="1:6">
      <c r="A270" s="40" t="s">
        <v>750</v>
      </c>
      <c r="B270" s="39" t="s">
        <v>747</v>
      </c>
      <c r="C270" s="40">
        <v>20240316</v>
      </c>
      <c r="D270" s="40" t="s">
        <v>96</v>
      </c>
      <c r="E270" s="40" t="s">
        <v>7</v>
      </c>
      <c r="F270" s="72">
        <v>1</v>
      </c>
    </row>
    <row r="271" spans="1:6">
      <c r="A271" s="40" t="s">
        <v>750</v>
      </c>
      <c r="B271" s="39" t="s">
        <v>747</v>
      </c>
      <c r="C271" s="40">
        <v>20240317</v>
      </c>
      <c r="D271" s="40" t="s">
        <v>96</v>
      </c>
      <c r="E271" s="40" t="s">
        <v>7</v>
      </c>
      <c r="F271" s="72">
        <v>1</v>
      </c>
    </row>
    <row r="272" spans="1:6">
      <c r="A272" s="40" t="s">
        <v>750</v>
      </c>
      <c r="B272" s="39" t="s">
        <v>747</v>
      </c>
      <c r="C272" s="40">
        <v>20240318</v>
      </c>
      <c r="D272" s="40" t="s">
        <v>96</v>
      </c>
      <c r="E272" s="40" t="s">
        <v>7</v>
      </c>
      <c r="F272" s="72">
        <v>1</v>
      </c>
    </row>
    <row r="273" spans="1:6">
      <c r="A273" s="40" t="s">
        <v>750</v>
      </c>
      <c r="B273" s="39" t="s">
        <v>747</v>
      </c>
      <c r="C273" s="40">
        <v>20240319</v>
      </c>
      <c r="D273" s="40" t="s">
        <v>96</v>
      </c>
      <c r="E273" s="40" t="s">
        <v>7</v>
      </c>
      <c r="F273" s="72">
        <v>1</v>
      </c>
    </row>
    <row r="274" spans="1:6">
      <c r="A274" s="40" t="s">
        <v>750</v>
      </c>
      <c r="B274" s="39" t="s">
        <v>747</v>
      </c>
      <c r="C274" s="40">
        <v>20240320</v>
      </c>
      <c r="D274" s="40" t="s">
        <v>96</v>
      </c>
      <c r="E274" s="40" t="s">
        <v>7</v>
      </c>
      <c r="F274" s="72">
        <v>1</v>
      </c>
    </row>
    <row r="275" spans="1:6">
      <c r="A275" s="40" t="s">
        <v>750</v>
      </c>
      <c r="B275" s="39" t="s">
        <v>747</v>
      </c>
      <c r="C275" s="40">
        <v>20240321</v>
      </c>
      <c r="D275" s="40" t="s">
        <v>96</v>
      </c>
      <c r="E275" s="40" t="s">
        <v>7</v>
      </c>
      <c r="F275" s="72">
        <v>1</v>
      </c>
    </row>
    <row r="276" spans="1:6">
      <c r="A276" s="40" t="s">
        <v>750</v>
      </c>
      <c r="B276" s="39" t="s">
        <v>747</v>
      </c>
      <c r="C276" s="40">
        <v>20240322</v>
      </c>
      <c r="D276" s="40" t="s">
        <v>96</v>
      </c>
      <c r="E276" s="40" t="s">
        <v>7</v>
      </c>
      <c r="F276" s="72">
        <v>1</v>
      </c>
    </row>
    <row r="277" spans="1:6">
      <c r="A277" s="40" t="s">
        <v>750</v>
      </c>
      <c r="B277" s="39" t="s">
        <v>747</v>
      </c>
      <c r="C277" s="40">
        <v>20240323</v>
      </c>
      <c r="D277" s="40" t="s">
        <v>96</v>
      </c>
      <c r="E277" s="40" t="s">
        <v>7</v>
      </c>
      <c r="F277" s="72">
        <v>1</v>
      </c>
    </row>
    <row r="278" spans="1:6">
      <c r="A278" s="40" t="s">
        <v>750</v>
      </c>
      <c r="B278" s="39" t="s">
        <v>747</v>
      </c>
      <c r="C278" s="40">
        <v>20240324</v>
      </c>
      <c r="D278" s="40" t="s">
        <v>96</v>
      </c>
      <c r="E278" s="40" t="s">
        <v>7</v>
      </c>
      <c r="F278" s="72">
        <v>1</v>
      </c>
    </row>
    <row r="279" spans="1:6">
      <c r="A279" s="40" t="s">
        <v>750</v>
      </c>
      <c r="B279" s="39" t="s">
        <v>747</v>
      </c>
      <c r="C279" s="40">
        <v>20240711</v>
      </c>
      <c r="D279" s="40" t="s">
        <v>805</v>
      </c>
      <c r="E279" s="40" t="s">
        <v>7</v>
      </c>
      <c r="F279" s="72">
        <v>1</v>
      </c>
    </row>
    <row r="280" spans="1:6">
      <c r="A280" s="40" t="s">
        <v>750</v>
      </c>
      <c r="B280" s="39" t="s">
        <v>747</v>
      </c>
      <c r="C280" s="40">
        <v>20240712</v>
      </c>
      <c r="D280" s="40" t="s">
        <v>805</v>
      </c>
      <c r="E280" s="40" t="s">
        <v>7</v>
      </c>
      <c r="F280" s="72">
        <v>1</v>
      </c>
    </row>
    <row r="281" spans="1:6">
      <c r="A281" s="40" t="s">
        <v>750</v>
      </c>
      <c r="B281" s="39" t="s">
        <v>747</v>
      </c>
      <c r="C281" s="40">
        <v>20240713</v>
      </c>
      <c r="D281" s="40" t="s">
        <v>805</v>
      </c>
      <c r="E281" s="40" t="s">
        <v>7</v>
      </c>
      <c r="F281" s="72">
        <v>1</v>
      </c>
    </row>
    <row r="282" spans="1:6">
      <c r="A282" s="40" t="s">
        <v>750</v>
      </c>
      <c r="B282" s="39" t="s">
        <v>747</v>
      </c>
      <c r="C282" s="40">
        <v>20240714</v>
      </c>
      <c r="D282" s="40" t="s">
        <v>805</v>
      </c>
      <c r="E282" s="40" t="s">
        <v>7</v>
      </c>
      <c r="F282" s="72">
        <v>1</v>
      </c>
    </row>
    <row r="283" spans="1:6">
      <c r="A283" s="40" t="s">
        <v>750</v>
      </c>
      <c r="B283" s="39" t="s">
        <v>747</v>
      </c>
      <c r="C283" s="40">
        <v>20240715</v>
      </c>
      <c r="D283" s="40" t="s">
        <v>805</v>
      </c>
      <c r="E283" s="40" t="s">
        <v>7</v>
      </c>
      <c r="F283" s="72">
        <v>1</v>
      </c>
    </row>
    <row r="284" spans="1:6">
      <c r="A284" s="40" t="s">
        <v>750</v>
      </c>
      <c r="B284" s="39" t="s">
        <v>747</v>
      </c>
      <c r="C284" s="40">
        <v>20240716</v>
      </c>
      <c r="D284" s="40" t="s">
        <v>805</v>
      </c>
      <c r="E284" s="40" t="s">
        <v>7</v>
      </c>
      <c r="F284" s="72">
        <v>1</v>
      </c>
    </row>
    <row r="285" spans="1:6">
      <c r="A285" s="40" t="s">
        <v>750</v>
      </c>
      <c r="B285" s="39" t="s">
        <v>747</v>
      </c>
      <c r="C285" s="40">
        <v>20240717</v>
      </c>
      <c r="D285" s="40" t="s">
        <v>805</v>
      </c>
      <c r="E285" s="40" t="s">
        <v>7</v>
      </c>
      <c r="F285" s="72">
        <v>1</v>
      </c>
    </row>
    <row r="286" spans="1:6">
      <c r="A286" s="40" t="s">
        <v>750</v>
      </c>
      <c r="B286" s="39" t="s">
        <v>747</v>
      </c>
      <c r="C286" s="40">
        <v>20240718</v>
      </c>
      <c r="D286" s="40" t="s">
        <v>805</v>
      </c>
      <c r="E286" s="40" t="s">
        <v>7</v>
      </c>
      <c r="F286" s="72">
        <v>1</v>
      </c>
    </row>
    <row r="287" spans="1:6">
      <c r="A287" s="40" t="s">
        <v>750</v>
      </c>
      <c r="B287" s="39" t="s">
        <v>747</v>
      </c>
      <c r="C287" s="40">
        <v>20240719</v>
      </c>
      <c r="D287" s="40" t="s">
        <v>805</v>
      </c>
      <c r="E287" s="40" t="s">
        <v>7</v>
      </c>
      <c r="F287" s="72">
        <v>1</v>
      </c>
    </row>
    <row r="288" spans="1:6">
      <c r="A288" s="40" t="s">
        <v>750</v>
      </c>
      <c r="B288" s="39" t="s">
        <v>747</v>
      </c>
      <c r="C288" s="40">
        <v>20240720</v>
      </c>
      <c r="D288" s="40" t="s">
        <v>805</v>
      </c>
      <c r="E288" s="40" t="s">
        <v>7</v>
      </c>
      <c r="F288" s="72">
        <v>1</v>
      </c>
    </row>
    <row r="289" spans="1:6">
      <c r="A289" s="40" t="s">
        <v>750</v>
      </c>
      <c r="B289" s="39" t="s">
        <v>747</v>
      </c>
      <c r="C289" s="40">
        <v>20240721</v>
      </c>
      <c r="D289" s="40" t="s">
        <v>805</v>
      </c>
      <c r="E289" s="40" t="s">
        <v>7</v>
      </c>
      <c r="F289" s="72">
        <v>1</v>
      </c>
    </row>
    <row r="290" spans="1:6">
      <c r="A290" s="40" t="s">
        <v>750</v>
      </c>
      <c r="B290" s="39" t="s">
        <v>747</v>
      </c>
      <c r="C290" s="40">
        <v>20240722</v>
      </c>
      <c r="D290" s="40" t="s">
        <v>805</v>
      </c>
      <c r="E290" s="40" t="s">
        <v>7</v>
      </c>
      <c r="F290" s="72">
        <v>1</v>
      </c>
    </row>
    <row r="291" spans="1:6">
      <c r="A291" s="40" t="s">
        <v>750</v>
      </c>
      <c r="B291" s="39" t="s">
        <v>747</v>
      </c>
      <c r="C291" s="40">
        <v>20240723</v>
      </c>
      <c r="D291" s="40" t="s">
        <v>805</v>
      </c>
      <c r="E291" s="40" t="s">
        <v>7</v>
      </c>
      <c r="F291" s="72">
        <v>1</v>
      </c>
    </row>
    <row r="292" spans="1:6">
      <c r="A292" s="40" t="s">
        <v>750</v>
      </c>
      <c r="B292" s="39" t="s">
        <v>747</v>
      </c>
      <c r="C292" s="40">
        <v>20240724</v>
      </c>
      <c r="D292" s="40" t="s">
        <v>805</v>
      </c>
      <c r="E292" s="40" t="s">
        <v>7</v>
      </c>
      <c r="F292" s="72">
        <v>1</v>
      </c>
    </row>
    <row r="293" spans="1:6">
      <c r="A293" s="40" t="s">
        <v>750</v>
      </c>
      <c r="B293" s="39" t="s">
        <v>747</v>
      </c>
      <c r="C293" s="40">
        <v>20240725</v>
      </c>
      <c r="D293" s="40" t="s">
        <v>805</v>
      </c>
      <c r="E293" s="40" t="s">
        <v>7</v>
      </c>
      <c r="F293" s="72">
        <v>1</v>
      </c>
    </row>
    <row r="294" s="40" customFormat="1" spans="1:6">
      <c r="A294" s="40" t="s">
        <v>750</v>
      </c>
      <c r="B294" s="39" t="s">
        <v>747</v>
      </c>
      <c r="C294" s="40" t="s">
        <v>806</v>
      </c>
      <c r="D294" s="40" t="s">
        <v>807</v>
      </c>
      <c r="E294" s="40" t="s">
        <v>7</v>
      </c>
      <c r="F294" s="72">
        <v>1</v>
      </c>
    </row>
    <row r="295" s="40" customFormat="1" spans="1:6">
      <c r="A295" s="40" t="s">
        <v>750</v>
      </c>
      <c r="B295" s="39" t="s">
        <v>747</v>
      </c>
      <c r="C295" s="40" t="s">
        <v>808</v>
      </c>
      <c r="D295" s="40" t="s">
        <v>809</v>
      </c>
      <c r="E295" s="40" t="s">
        <v>7</v>
      </c>
      <c r="F295" s="72">
        <v>1</v>
      </c>
    </row>
    <row r="296" s="40" customFormat="1" spans="1:6">
      <c r="A296" s="40" t="s">
        <v>750</v>
      </c>
      <c r="B296" s="39" t="s">
        <v>747</v>
      </c>
      <c r="C296" s="40" t="s">
        <v>810</v>
      </c>
      <c r="D296" s="40" t="s">
        <v>811</v>
      </c>
      <c r="E296" s="40" t="s">
        <v>7</v>
      </c>
      <c r="F296" s="72">
        <v>1</v>
      </c>
    </row>
    <row r="297" s="40" customFormat="1" spans="1:6">
      <c r="A297" s="40" t="s">
        <v>750</v>
      </c>
      <c r="B297" s="39" t="s">
        <v>747</v>
      </c>
      <c r="C297" s="40" t="s">
        <v>812</v>
      </c>
      <c r="D297" s="40" t="s">
        <v>813</v>
      </c>
      <c r="E297" s="40" t="s">
        <v>7</v>
      </c>
      <c r="F297" s="72">
        <v>1</v>
      </c>
    </row>
    <row r="298" s="40" customFormat="1" spans="1:6">
      <c r="A298" s="40" t="s">
        <v>750</v>
      </c>
      <c r="B298" s="39" t="s">
        <v>747</v>
      </c>
      <c r="C298" s="40" t="s">
        <v>814</v>
      </c>
      <c r="D298" s="40" t="s">
        <v>815</v>
      </c>
      <c r="E298" s="40" t="s">
        <v>7</v>
      </c>
      <c r="F298" s="72">
        <v>1</v>
      </c>
    </row>
    <row r="299" s="40" customFormat="1" spans="1:6">
      <c r="A299" s="40" t="s">
        <v>750</v>
      </c>
      <c r="B299" s="39" t="s">
        <v>747</v>
      </c>
      <c r="C299" s="40" t="s">
        <v>816</v>
      </c>
      <c r="D299" s="40" t="s">
        <v>815</v>
      </c>
      <c r="E299" s="40" t="s">
        <v>7</v>
      </c>
      <c r="F299" s="72">
        <v>1</v>
      </c>
    </row>
    <row r="300" s="40" customFormat="1" spans="1:6">
      <c r="A300" s="40" t="s">
        <v>750</v>
      </c>
      <c r="B300" s="39" t="s">
        <v>747</v>
      </c>
      <c r="C300" s="40" t="s">
        <v>817</v>
      </c>
      <c r="D300" s="40" t="s">
        <v>815</v>
      </c>
      <c r="E300" s="40" t="s">
        <v>7</v>
      </c>
      <c r="F300" s="72">
        <v>1</v>
      </c>
    </row>
    <row r="301" s="40" customFormat="1" spans="1:6">
      <c r="A301" s="40" t="s">
        <v>750</v>
      </c>
      <c r="B301" s="39" t="s">
        <v>747</v>
      </c>
      <c r="C301" s="40" t="s">
        <v>818</v>
      </c>
      <c r="D301" s="40" t="s">
        <v>815</v>
      </c>
      <c r="E301" s="40" t="s">
        <v>7</v>
      </c>
      <c r="F301" s="72">
        <v>1</v>
      </c>
    </row>
    <row r="302" s="40" customFormat="1" spans="1:6">
      <c r="A302" s="40" t="s">
        <v>750</v>
      </c>
      <c r="B302" s="39" t="s">
        <v>747</v>
      </c>
      <c r="C302" s="40" t="s">
        <v>819</v>
      </c>
      <c r="D302" s="40" t="s">
        <v>96</v>
      </c>
      <c r="E302" s="40" t="s">
        <v>7</v>
      </c>
      <c r="F302" s="72">
        <v>1</v>
      </c>
    </row>
    <row r="303" s="40" customFormat="1" spans="1:6">
      <c r="A303" s="40" t="s">
        <v>750</v>
      </c>
      <c r="B303" s="39" t="s">
        <v>747</v>
      </c>
      <c r="C303" s="40" t="s">
        <v>820</v>
      </c>
      <c r="D303" s="40" t="s">
        <v>821</v>
      </c>
      <c r="E303" s="40" t="s">
        <v>7</v>
      </c>
      <c r="F303" s="72">
        <v>1</v>
      </c>
    </row>
    <row r="304" s="40" customFormat="1" spans="1:6">
      <c r="A304" s="40" t="s">
        <v>750</v>
      </c>
      <c r="B304" s="39" t="s">
        <v>747</v>
      </c>
      <c r="C304" s="40" t="s">
        <v>822</v>
      </c>
      <c r="D304" s="40" t="s">
        <v>49</v>
      </c>
      <c r="E304" s="40" t="s">
        <v>7</v>
      </c>
      <c r="F304" s="72">
        <v>1</v>
      </c>
    </row>
    <row r="305" s="40" customFormat="1" spans="1:6">
      <c r="A305" s="40" t="s">
        <v>750</v>
      </c>
      <c r="B305" s="39" t="s">
        <v>747</v>
      </c>
      <c r="C305" s="40" t="s">
        <v>823</v>
      </c>
      <c r="D305" s="40" t="s">
        <v>96</v>
      </c>
      <c r="E305" s="40" t="s">
        <v>7</v>
      </c>
      <c r="F305" s="72">
        <v>1</v>
      </c>
    </row>
    <row r="306" s="40" customFormat="1" spans="1:6">
      <c r="A306" s="40" t="s">
        <v>750</v>
      </c>
      <c r="B306" s="39" t="s">
        <v>747</v>
      </c>
      <c r="C306" s="40" t="s">
        <v>824</v>
      </c>
      <c r="D306" s="40" t="s">
        <v>177</v>
      </c>
      <c r="E306" s="40" t="s">
        <v>7</v>
      </c>
      <c r="F306" s="72">
        <v>1</v>
      </c>
    </row>
    <row r="307" s="40" customFormat="1" spans="1:6">
      <c r="A307" s="40" t="s">
        <v>750</v>
      </c>
      <c r="B307" s="39" t="s">
        <v>747</v>
      </c>
      <c r="C307" s="40" t="s">
        <v>825</v>
      </c>
      <c r="D307" s="40" t="s">
        <v>49</v>
      </c>
      <c r="E307" s="40" t="s">
        <v>7</v>
      </c>
      <c r="F307" s="72">
        <v>1</v>
      </c>
    </row>
    <row r="308" s="40" customFormat="1" spans="1:6">
      <c r="A308" s="40" t="s">
        <v>750</v>
      </c>
      <c r="B308" s="39" t="s">
        <v>747</v>
      </c>
      <c r="C308" s="40" t="s">
        <v>826</v>
      </c>
      <c r="D308" s="40" t="s">
        <v>49</v>
      </c>
      <c r="E308" s="40" t="s">
        <v>7</v>
      </c>
      <c r="F308" s="72">
        <v>1</v>
      </c>
    </row>
    <row r="309" s="40" customFormat="1" spans="1:6">
      <c r="A309" s="40" t="s">
        <v>750</v>
      </c>
      <c r="B309" s="39" t="s">
        <v>747</v>
      </c>
      <c r="C309" s="40" t="s">
        <v>827</v>
      </c>
      <c r="D309" s="40" t="s">
        <v>49</v>
      </c>
      <c r="E309" s="40" t="s">
        <v>7</v>
      </c>
      <c r="F309" s="72">
        <v>1</v>
      </c>
    </row>
    <row r="310" s="40" customFormat="1" spans="1:6">
      <c r="A310" s="40" t="s">
        <v>750</v>
      </c>
      <c r="B310" s="39" t="s">
        <v>747</v>
      </c>
      <c r="C310" s="40" t="s">
        <v>828</v>
      </c>
      <c r="D310" s="40" t="s">
        <v>49</v>
      </c>
      <c r="E310" s="40" t="s">
        <v>7</v>
      </c>
      <c r="F310" s="72">
        <v>1</v>
      </c>
    </row>
    <row r="311" s="40" customFormat="1" spans="1:6">
      <c r="A311" s="40" t="s">
        <v>750</v>
      </c>
      <c r="B311" s="39" t="s">
        <v>747</v>
      </c>
      <c r="C311" s="40" t="s">
        <v>829</v>
      </c>
      <c r="D311" s="40" t="s">
        <v>49</v>
      </c>
      <c r="E311" s="40" t="s">
        <v>7</v>
      </c>
      <c r="F311" s="72">
        <v>1</v>
      </c>
    </row>
    <row r="312" s="40" customFormat="1" spans="1:6">
      <c r="A312" s="40" t="s">
        <v>750</v>
      </c>
      <c r="B312" s="39" t="s">
        <v>747</v>
      </c>
      <c r="C312" s="40" t="s">
        <v>830</v>
      </c>
      <c r="D312" s="40" t="s">
        <v>772</v>
      </c>
      <c r="E312" s="40" t="s">
        <v>7</v>
      </c>
      <c r="F312" s="72">
        <v>1</v>
      </c>
    </row>
    <row r="313" s="40" customFormat="1" spans="1:6">
      <c r="A313" s="40" t="s">
        <v>750</v>
      </c>
      <c r="B313" s="39" t="s">
        <v>747</v>
      </c>
      <c r="C313" s="40" t="s">
        <v>831</v>
      </c>
      <c r="D313" s="40" t="s">
        <v>305</v>
      </c>
      <c r="E313" s="40" t="s">
        <v>7</v>
      </c>
      <c r="F313" s="72">
        <v>1</v>
      </c>
    </row>
    <row r="314" s="40" customFormat="1" spans="1:6">
      <c r="A314" s="40" t="s">
        <v>750</v>
      </c>
      <c r="B314" s="39" t="s">
        <v>747</v>
      </c>
      <c r="C314" s="40" t="s">
        <v>832</v>
      </c>
      <c r="D314" s="40" t="s">
        <v>305</v>
      </c>
      <c r="E314" s="40" t="s">
        <v>7</v>
      </c>
      <c r="F314" s="72">
        <v>1</v>
      </c>
    </row>
    <row r="315" s="40" customFormat="1" spans="1:6">
      <c r="A315" s="40" t="s">
        <v>750</v>
      </c>
      <c r="B315" s="39" t="s">
        <v>747</v>
      </c>
      <c r="C315" s="40" t="s">
        <v>833</v>
      </c>
      <c r="D315" s="40" t="s">
        <v>49</v>
      </c>
      <c r="E315" s="40" t="s">
        <v>7</v>
      </c>
      <c r="F315" s="72">
        <v>1</v>
      </c>
    </row>
    <row r="316" s="40" customFormat="1" spans="1:6">
      <c r="A316" s="40" t="s">
        <v>750</v>
      </c>
      <c r="B316" s="39" t="s">
        <v>747</v>
      </c>
      <c r="C316" s="40" t="s">
        <v>834</v>
      </c>
      <c r="D316" s="40" t="s">
        <v>96</v>
      </c>
      <c r="E316" s="40" t="s">
        <v>7</v>
      </c>
      <c r="F316" s="72">
        <v>1</v>
      </c>
    </row>
    <row r="317" s="40" customFormat="1" spans="1:6">
      <c r="A317" s="40" t="s">
        <v>750</v>
      </c>
      <c r="B317" s="39" t="s">
        <v>747</v>
      </c>
      <c r="C317" s="40" t="s">
        <v>835</v>
      </c>
      <c r="D317" s="40" t="s">
        <v>96</v>
      </c>
      <c r="E317" s="40" t="s">
        <v>7</v>
      </c>
      <c r="F317" s="72">
        <v>1</v>
      </c>
    </row>
    <row r="318" s="40" customFormat="1" spans="1:6">
      <c r="A318" s="40" t="s">
        <v>750</v>
      </c>
      <c r="B318" s="39" t="s">
        <v>747</v>
      </c>
      <c r="C318" s="40" t="s">
        <v>836</v>
      </c>
      <c r="D318" s="40" t="s">
        <v>96</v>
      </c>
      <c r="E318" s="40" t="s">
        <v>7</v>
      </c>
      <c r="F318" s="72">
        <v>1</v>
      </c>
    </row>
    <row r="319" s="40" customFormat="1" spans="1:6">
      <c r="A319" s="40" t="s">
        <v>750</v>
      </c>
      <c r="B319" s="39" t="s">
        <v>747</v>
      </c>
      <c r="C319" s="40" t="s">
        <v>837</v>
      </c>
      <c r="D319" s="40" t="s">
        <v>96</v>
      </c>
      <c r="E319" s="40" t="s">
        <v>7</v>
      </c>
      <c r="F319" s="72">
        <v>1</v>
      </c>
    </row>
    <row r="320" s="40" customFormat="1" spans="1:6">
      <c r="A320" s="40" t="s">
        <v>750</v>
      </c>
      <c r="B320" s="39" t="s">
        <v>747</v>
      </c>
      <c r="C320" s="40" t="s">
        <v>838</v>
      </c>
      <c r="D320" s="40" t="s">
        <v>96</v>
      </c>
      <c r="E320" s="40" t="s">
        <v>7</v>
      </c>
      <c r="F320" s="72">
        <v>1</v>
      </c>
    </row>
    <row r="321" s="40" customFormat="1" spans="1:6">
      <c r="A321" s="40" t="s">
        <v>750</v>
      </c>
      <c r="B321" s="39" t="s">
        <v>747</v>
      </c>
      <c r="C321" s="40" t="s">
        <v>839</v>
      </c>
      <c r="D321" s="40" t="s">
        <v>96</v>
      </c>
      <c r="E321" s="40" t="s">
        <v>7</v>
      </c>
      <c r="F321" s="72">
        <v>1</v>
      </c>
    </row>
    <row r="322" s="40" customFormat="1" spans="1:6">
      <c r="A322" s="40" t="s">
        <v>750</v>
      </c>
      <c r="B322" s="39" t="s">
        <v>747</v>
      </c>
      <c r="C322" s="40" t="s">
        <v>840</v>
      </c>
      <c r="D322" s="40" t="s">
        <v>96</v>
      </c>
      <c r="E322" s="40" t="s">
        <v>7</v>
      </c>
      <c r="F322" s="72">
        <v>1</v>
      </c>
    </row>
    <row r="323" s="40" customFormat="1" spans="1:6">
      <c r="A323" s="40" t="s">
        <v>750</v>
      </c>
      <c r="B323" s="39" t="s">
        <v>747</v>
      </c>
      <c r="C323" s="40" t="s">
        <v>841</v>
      </c>
      <c r="D323" s="40" t="s">
        <v>96</v>
      </c>
      <c r="E323" s="40" t="s">
        <v>7</v>
      </c>
      <c r="F323" s="72">
        <v>1</v>
      </c>
    </row>
    <row r="324" s="40" customFormat="1" spans="1:6">
      <c r="A324" s="40" t="s">
        <v>750</v>
      </c>
      <c r="B324" s="39" t="s">
        <v>747</v>
      </c>
      <c r="C324" s="40" t="s">
        <v>842</v>
      </c>
      <c r="D324" s="40" t="s">
        <v>96</v>
      </c>
      <c r="E324" s="40" t="s">
        <v>7</v>
      </c>
      <c r="F324" s="72">
        <v>1</v>
      </c>
    </row>
    <row r="325" s="40" customFormat="1" spans="1:6">
      <c r="A325" s="40" t="s">
        <v>750</v>
      </c>
      <c r="B325" s="39" t="s">
        <v>747</v>
      </c>
      <c r="C325" s="40" t="s">
        <v>843</v>
      </c>
      <c r="D325" s="40" t="s">
        <v>96</v>
      </c>
      <c r="E325" s="40" t="s">
        <v>7</v>
      </c>
      <c r="F325" s="72">
        <v>1</v>
      </c>
    </row>
    <row r="326" s="40" customFormat="1" spans="1:6">
      <c r="A326" s="40" t="s">
        <v>750</v>
      </c>
      <c r="B326" s="39" t="s">
        <v>747</v>
      </c>
      <c r="C326" s="40" t="s">
        <v>844</v>
      </c>
      <c r="D326" s="40" t="s">
        <v>96</v>
      </c>
      <c r="E326" s="40" t="s">
        <v>7</v>
      </c>
      <c r="F326" s="72">
        <v>1</v>
      </c>
    </row>
    <row r="327" s="40" customFormat="1" spans="1:6">
      <c r="A327" s="40" t="s">
        <v>750</v>
      </c>
      <c r="B327" s="39" t="s">
        <v>747</v>
      </c>
      <c r="C327" s="40" t="s">
        <v>845</v>
      </c>
      <c r="D327" s="40" t="s">
        <v>96</v>
      </c>
      <c r="E327" s="40" t="s">
        <v>7</v>
      </c>
      <c r="F327" s="72">
        <v>1</v>
      </c>
    </row>
    <row r="328" s="40" customFormat="1" spans="1:6">
      <c r="A328" s="40" t="s">
        <v>750</v>
      </c>
      <c r="B328" s="39" t="s">
        <v>747</v>
      </c>
      <c r="C328" s="40" t="s">
        <v>846</v>
      </c>
      <c r="D328" s="40" t="s">
        <v>96</v>
      </c>
      <c r="E328" s="40" t="s">
        <v>7</v>
      </c>
      <c r="F328" s="72">
        <v>1</v>
      </c>
    </row>
    <row r="329" s="40" customFormat="1" spans="1:6">
      <c r="A329" s="40" t="s">
        <v>750</v>
      </c>
      <c r="B329" s="39" t="s">
        <v>747</v>
      </c>
      <c r="C329" s="40" t="s">
        <v>847</v>
      </c>
      <c r="D329" s="40" t="s">
        <v>96</v>
      </c>
      <c r="E329" s="40" t="s">
        <v>7</v>
      </c>
      <c r="F329" s="72">
        <v>1</v>
      </c>
    </row>
    <row r="330" s="40" customFormat="1" spans="1:6">
      <c r="A330" s="40" t="s">
        <v>750</v>
      </c>
      <c r="B330" s="39" t="s">
        <v>747</v>
      </c>
      <c r="C330" s="40" t="s">
        <v>848</v>
      </c>
      <c r="D330" s="40" t="s">
        <v>96</v>
      </c>
      <c r="E330" s="40" t="s">
        <v>7</v>
      </c>
      <c r="F330" s="72">
        <v>1</v>
      </c>
    </row>
    <row r="331" s="40" customFormat="1" spans="1:6">
      <c r="A331" s="40" t="s">
        <v>750</v>
      </c>
      <c r="B331" s="39" t="s">
        <v>747</v>
      </c>
      <c r="C331" s="40" t="s">
        <v>849</v>
      </c>
      <c r="D331" s="40" t="s">
        <v>96</v>
      </c>
      <c r="E331" s="40" t="s">
        <v>7</v>
      </c>
      <c r="F331" s="72">
        <v>1</v>
      </c>
    </row>
    <row r="332" s="40" customFormat="1" spans="1:6">
      <c r="A332" s="40" t="s">
        <v>750</v>
      </c>
      <c r="B332" s="39" t="s">
        <v>747</v>
      </c>
      <c r="C332" s="40" t="s">
        <v>850</v>
      </c>
      <c r="D332" s="40" t="s">
        <v>96</v>
      </c>
      <c r="E332" s="40" t="s">
        <v>7</v>
      </c>
      <c r="F332" s="72">
        <v>1</v>
      </c>
    </row>
    <row r="333" s="40" customFormat="1" spans="1:6">
      <c r="A333" s="40" t="s">
        <v>750</v>
      </c>
      <c r="B333" s="39" t="s">
        <v>747</v>
      </c>
      <c r="C333" s="40" t="s">
        <v>851</v>
      </c>
      <c r="D333" s="40" t="s">
        <v>96</v>
      </c>
      <c r="E333" s="40" t="s">
        <v>7</v>
      </c>
      <c r="F333" s="72">
        <v>1</v>
      </c>
    </row>
    <row r="334" s="40" customFormat="1" spans="1:6">
      <c r="A334" s="40" t="s">
        <v>750</v>
      </c>
      <c r="B334" s="39" t="s">
        <v>747</v>
      </c>
      <c r="C334" s="40" t="s">
        <v>852</v>
      </c>
      <c r="D334" s="40" t="s">
        <v>853</v>
      </c>
      <c r="E334" s="40" t="s">
        <v>7</v>
      </c>
      <c r="F334" s="72">
        <v>1</v>
      </c>
    </row>
    <row r="335" s="40" customFormat="1" spans="1:6">
      <c r="A335" s="40" t="s">
        <v>750</v>
      </c>
      <c r="B335" s="39" t="s">
        <v>747</v>
      </c>
      <c r="C335" s="40" t="s">
        <v>854</v>
      </c>
      <c r="D335" s="40" t="s">
        <v>853</v>
      </c>
      <c r="E335" s="40" t="s">
        <v>7</v>
      </c>
      <c r="F335" s="72">
        <v>1</v>
      </c>
    </row>
    <row r="336" s="40" customFormat="1" spans="1:6">
      <c r="A336" s="40" t="s">
        <v>750</v>
      </c>
      <c r="B336" s="39" t="s">
        <v>747</v>
      </c>
      <c r="C336" s="40" t="s">
        <v>855</v>
      </c>
      <c r="D336" s="40" t="s">
        <v>853</v>
      </c>
      <c r="E336" s="40" t="s">
        <v>7</v>
      </c>
      <c r="F336" s="72">
        <v>1</v>
      </c>
    </row>
    <row r="337" s="40" customFormat="1" spans="1:6">
      <c r="A337" s="40" t="s">
        <v>750</v>
      </c>
      <c r="B337" s="39" t="s">
        <v>747</v>
      </c>
      <c r="C337" s="40" t="s">
        <v>856</v>
      </c>
      <c r="D337" s="40" t="s">
        <v>853</v>
      </c>
      <c r="E337" s="40" t="s">
        <v>7</v>
      </c>
      <c r="F337" s="72">
        <v>1</v>
      </c>
    </row>
    <row r="338" s="40" customFormat="1" spans="1:6">
      <c r="A338" s="40" t="s">
        <v>750</v>
      </c>
      <c r="B338" s="39" t="s">
        <v>747</v>
      </c>
      <c r="C338" s="40" t="s">
        <v>857</v>
      </c>
      <c r="D338" s="40" t="s">
        <v>853</v>
      </c>
      <c r="E338" s="40" t="s">
        <v>7</v>
      </c>
      <c r="F338" s="72">
        <v>1</v>
      </c>
    </row>
    <row r="339" s="40" customFormat="1" spans="1:6">
      <c r="A339" s="40" t="s">
        <v>750</v>
      </c>
      <c r="B339" s="39" t="s">
        <v>747</v>
      </c>
      <c r="C339" s="40" t="s">
        <v>858</v>
      </c>
      <c r="D339" s="40" t="s">
        <v>96</v>
      </c>
      <c r="E339" s="40" t="s">
        <v>7</v>
      </c>
      <c r="F339" s="72">
        <v>1</v>
      </c>
    </row>
    <row r="340" s="40" customFormat="1" spans="1:6">
      <c r="A340" s="40" t="s">
        <v>750</v>
      </c>
      <c r="B340" s="39" t="s">
        <v>747</v>
      </c>
      <c r="C340" s="40" t="s">
        <v>859</v>
      </c>
      <c r="D340" s="40" t="s">
        <v>96</v>
      </c>
      <c r="E340" s="40" t="s">
        <v>7</v>
      </c>
      <c r="F340" s="72">
        <v>1</v>
      </c>
    </row>
    <row r="341" s="40" customFormat="1" spans="1:6">
      <c r="A341" s="40" t="s">
        <v>750</v>
      </c>
      <c r="B341" s="39" t="s">
        <v>747</v>
      </c>
      <c r="C341" s="40" t="s">
        <v>860</v>
      </c>
      <c r="D341" s="40" t="s">
        <v>861</v>
      </c>
      <c r="E341" s="40" t="s">
        <v>7</v>
      </c>
      <c r="F341" s="72">
        <v>1</v>
      </c>
    </row>
    <row r="342" s="40" customFormat="1" spans="1:6">
      <c r="A342" s="40" t="s">
        <v>750</v>
      </c>
      <c r="B342" s="39" t="s">
        <v>747</v>
      </c>
      <c r="C342" s="40" t="s">
        <v>862</v>
      </c>
      <c r="D342" s="40" t="s">
        <v>861</v>
      </c>
      <c r="E342" s="40" t="s">
        <v>7</v>
      </c>
      <c r="F342" s="72">
        <v>1</v>
      </c>
    </row>
    <row r="343" s="40" customFormat="1" spans="1:6">
      <c r="A343" s="40" t="s">
        <v>750</v>
      </c>
      <c r="B343" s="39" t="s">
        <v>747</v>
      </c>
      <c r="C343" s="40" t="s">
        <v>863</v>
      </c>
      <c r="D343" s="40" t="s">
        <v>861</v>
      </c>
      <c r="E343" s="40" t="s">
        <v>7</v>
      </c>
      <c r="F343" s="72">
        <v>1</v>
      </c>
    </row>
    <row r="344" s="40" customFormat="1" spans="1:6">
      <c r="A344" s="40" t="s">
        <v>750</v>
      </c>
      <c r="B344" s="39" t="s">
        <v>747</v>
      </c>
      <c r="C344" s="40" t="s">
        <v>864</v>
      </c>
      <c r="D344" s="40" t="s">
        <v>861</v>
      </c>
      <c r="E344" s="40" t="s">
        <v>7</v>
      </c>
      <c r="F344" s="72">
        <v>1</v>
      </c>
    </row>
    <row r="345" s="40" customFormat="1" spans="1:6">
      <c r="A345" s="40" t="s">
        <v>750</v>
      </c>
      <c r="B345" s="39" t="s">
        <v>747</v>
      </c>
      <c r="C345" s="40" t="s">
        <v>865</v>
      </c>
      <c r="D345" s="40" t="s">
        <v>861</v>
      </c>
      <c r="E345" s="40" t="s">
        <v>7</v>
      </c>
      <c r="F345" s="72">
        <v>1</v>
      </c>
    </row>
    <row r="346" s="40" customFormat="1" spans="1:6">
      <c r="A346" s="40" t="s">
        <v>750</v>
      </c>
      <c r="B346" s="39" t="s">
        <v>747</v>
      </c>
      <c r="C346" s="40" t="s">
        <v>866</v>
      </c>
      <c r="D346" s="40" t="s">
        <v>861</v>
      </c>
      <c r="E346" s="40" t="s">
        <v>7</v>
      </c>
      <c r="F346" s="72">
        <v>1</v>
      </c>
    </row>
    <row r="347" s="40" customFormat="1" spans="1:6">
      <c r="A347" s="40" t="s">
        <v>750</v>
      </c>
      <c r="B347" s="39" t="s">
        <v>747</v>
      </c>
      <c r="C347" s="40" t="s">
        <v>867</v>
      </c>
      <c r="D347" s="40" t="s">
        <v>861</v>
      </c>
      <c r="E347" s="40" t="s">
        <v>7</v>
      </c>
      <c r="F347" s="72">
        <v>1</v>
      </c>
    </row>
    <row r="348" s="40" customFormat="1" spans="1:6">
      <c r="A348" s="40" t="s">
        <v>750</v>
      </c>
      <c r="B348" s="39" t="s">
        <v>747</v>
      </c>
      <c r="C348" s="40" t="s">
        <v>868</v>
      </c>
      <c r="D348" s="40" t="s">
        <v>861</v>
      </c>
      <c r="E348" s="40" t="s">
        <v>7</v>
      </c>
      <c r="F348" s="72">
        <v>1</v>
      </c>
    </row>
    <row r="349" s="40" customFormat="1" spans="1:6">
      <c r="A349" s="40" t="s">
        <v>750</v>
      </c>
      <c r="B349" s="39" t="s">
        <v>747</v>
      </c>
      <c r="C349" s="40" t="s">
        <v>869</v>
      </c>
      <c r="D349" s="40" t="s">
        <v>861</v>
      </c>
      <c r="E349" s="40" t="s">
        <v>7</v>
      </c>
      <c r="F349" s="72">
        <v>1</v>
      </c>
    </row>
    <row r="350" s="40" customFormat="1" spans="1:6">
      <c r="A350" s="40" t="s">
        <v>750</v>
      </c>
      <c r="B350" s="39" t="s">
        <v>747</v>
      </c>
      <c r="C350" s="40" t="s">
        <v>870</v>
      </c>
      <c r="D350" s="40" t="s">
        <v>861</v>
      </c>
      <c r="E350" s="40" t="s">
        <v>7</v>
      </c>
      <c r="F350" s="72">
        <v>1</v>
      </c>
    </row>
    <row r="351" s="40" customFormat="1" spans="1:6">
      <c r="A351" s="40" t="s">
        <v>750</v>
      </c>
      <c r="B351" s="39" t="s">
        <v>747</v>
      </c>
      <c r="C351" s="40" t="s">
        <v>871</v>
      </c>
      <c r="D351" s="40" t="s">
        <v>861</v>
      </c>
      <c r="E351" s="40" t="s">
        <v>7</v>
      </c>
      <c r="F351" s="72">
        <v>1</v>
      </c>
    </row>
    <row r="352" s="40" customFormat="1" spans="1:6">
      <c r="A352" s="40" t="s">
        <v>750</v>
      </c>
      <c r="B352" s="39" t="s">
        <v>747</v>
      </c>
      <c r="C352" s="40" t="s">
        <v>872</v>
      </c>
      <c r="D352" s="40" t="s">
        <v>861</v>
      </c>
      <c r="E352" s="40" t="s">
        <v>7</v>
      </c>
      <c r="F352" s="72">
        <v>1</v>
      </c>
    </row>
    <row r="353" s="40" customFormat="1" spans="1:6">
      <c r="A353" s="40" t="s">
        <v>750</v>
      </c>
      <c r="B353" s="39" t="s">
        <v>747</v>
      </c>
      <c r="C353" s="40" t="s">
        <v>873</v>
      </c>
      <c r="D353" s="40" t="s">
        <v>861</v>
      </c>
      <c r="E353" s="40" t="s">
        <v>7</v>
      </c>
      <c r="F353" s="72">
        <v>1</v>
      </c>
    </row>
    <row r="354" s="40" customFormat="1" spans="1:6">
      <c r="A354" s="40" t="s">
        <v>750</v>
      </c>
      <c r="B354" s="39" t="s">
        <v>747</v>
      </c>
      <c r="C354" s="40" t="s">
        <v>874</v>
      </c>
      <c r="D354" s="40" t="s">
        <v>861</v>
      </c>
      <c r="E354" s="40" t="s">
        <v>7</v>
      </c>
      <c r="F354" s="72">
        <v>1</v>
      </c>
    </row>
    <row r="355" s="40" customFormat="1" spans="1:6">
      <c r="A355" s="40" t="s">
        <v>750</v>
      </c>
      <c r="B355" s="39" t="s">
        <v>747</v>
      </c>
      <c r="C355" s="40" t="s">
        <v>875</v>
      </c>
      <c r="D355" s="40" t="s">
        <v>861</v>
      </c>
      <c r="E355" s="40" t="s">
        <v>7</v>
      </c>
      <c r="F355" s="72">
        <v>1</v>
      </c>
    </row>
    <row r="356" s="40" customFormat="1" spans="1:6">
      <c r="A356" s="40" t="s">
        <v>750</v>
      </c>
      <c r="B356" s="39" t="s">
        <v>747</v>
      </c>
      <c r="C356" s="40" t="s">
        <v>876</v>
      </c>
      <c r="D356" s="40" t="s">
        <v>861</v>
      </c>
      <c r="E356" s="40" t="s">
        <v>7</v>
      </c>
      <c r="F356" s="72">
        <v>1</v>
      </c>
    </row>
    <row r="357" s="40" customFormat="1" spans="1:6">
      <c r="A357" s="40" t="s">
        <v>750</v>
      </c>
      <c r="B357" s="39" t="s">
        <v>747</v>
      </c>
      <c r="C357" s="40" t="s">
        <v>877</v>
      </c>
      <c r="D357" s="40" t="s">
        <v>861</v>
      </c>
      <c r="E357" s="40" t="s">
        <v>7</v>
      </c>
      <c r="F357" s="72">
        <v>1</v>
      </c>
    </row>
    <row r="358" s="40" customFormat="1" spans="1:6">
      <c r="A358" s="40" t="s">
        <v>750</v>
      </c>
      <c r="B358" s="39" t="s">
        <v>747</v>
      </c>
      <c r="C358" s="40" t="s">
        <v>878</v>
      </c>
      <c r="D358" s="40" t="s">
        <v>861</v>
      </c>
      <c r="E358" s="40" t="s">
        <v>7</v>
      </c>
      <c r="F358" s="72">
        <v>1</v>
      </c>
    </row>
    <row r="359" s="40" customFormat="1" spans="1:6">
      <c r="A359" s="40" t="s">
        <v>750</v>
      </c>
      <c r="B359" s="39" t="s">
        <v>747</v>
      </c>
      <c r="C359" s="40" t="s">
        <v>879</v>
      </c>
      <c r="D359" s="40" t="s">
        <v>861</v>
      </c>
      <c r="E359" s="40" t="s">
        <v>7</v>
      </c>
      <c r="F359" s="72">
        <v>1</v>
      </c>
    </row>
    <row r="360" s="40" customFormat="1" spans="1:6">
      <c r="A360" s="40" t="s">
        <v>750</v>
      </c>
      <c r="B360" s="39" t="s">
        <v>747</v>
      </c>
      <c r="C360" s="40" t="s">
        <v>880</v>
      </c>
      <c r="D360" s="40" t="s">
        <v>861</v>
      </c>
      <c r="E360" s="40" t="s">
        <v>7</v>
      </c>
      <c r="F360" s="72">
        <v>1</v>
      </c>
    </row>
    <row r="361" s="40" customFormat="1" spans="1:6">
      <c r="A361" s="40" t="s">
        <v>750</v>
      </c>
      <c r="B361" s="39" t="s">
        <v>747</v>
      </c>
      <c r="C361" s="40" t="s">
        <v>881</v>
      </c>
      <c r="D361" s="40" t="s">
        <v>882</v>
      </c>
      <c r="E361" s="40" t="s">
        <v>7</v>
      </c>
      <c r="F361" s="72">
        <v>1</v>
      </c>
    </row>
    <row r="362" s="40" customFormat="1" spans="1:6">
      <c r="A362" s="40" t="s">
        <v>750</v>
      </c>
      <c r="B362" s="39" t="s">
        <v>747</v>
      </c>
      <c r="C362" s="40" t="s">
        <v>883</v>
      </c>
      <c r="D362" s="40" t="s">
        <v>95</v>
      </c>
      <c r="E362" s="40" t="s">
        <v>7</v>
      </c>
      <c r="F362" s="72">
        <v>1</v>
      </c>
    </row>
    <row r="363" s="40" customFormat="1" spans="1:6">
      <c r="A363" s="40" t="s">
        <v>750</v>
      </c>
      <c r="B363" s="39" t="s">
        <v>747</v>
      </c>
      <c r="C363" s="40" t="s">
        <v>884</v>
      </c>
      <c r="D363" s="40" t="s">
        <v>885</v>
      </c>
      <c r="E363" s="40" t="s">
        <v>7</v>
      </c>
      <c r="F363" s="72">
        <v>1</v>
      </c>
    </row>
    <row r="364" s="40" customFormat="1" spans="1:6">
      <c r="A364" s="40" t="s">
        <v>750</v>
      </c>
      <c r="B364" s="39" t="s">
        <v>747</v>
      </c>
      <c r="C364" s="40" t="s">
        <v>886</v>
      </c>
      <c r="D364" s="40" t="s">
        <v>362</v>
      </c>
      <c r="E364" s="40" t="s">
        <v>7</v>
      </c>
      <c r="F364" s="72">
        <v>1</v>
      </c>
    </row>
    <row r="365" s="40" customFormat="1" spans="1:6">
      <c r="A365" s="40" t="s">
        <v>750</v>
      </c>
      <c r="B365" s="39" t="s">
        <v>747</v>
      </c>
      <c r="C365" s="40" t="s">
        <v>887</v>
      </c>
      <c r="D365" s="40" t="s">
        <v>888</v>
      </c>
      <c r="E365" s="40" t="s">
        <v>7</v>
      </c>
      <c r="F365" s="72">
        <v>1</v>
      </c>
    </row>
    <row r="366" s="40" customFormat="1" spans="1:6">
      <c r="A366" s="40" t="s">
        <v>750</v>
      </c>
      <c r="B366" s="39" t="s">
        <v>747</v>
      </c>
      <c r="C366" s="40" t="s">
        <v>889</v>
      </c>
      <c r="D366" s="40" t="s">
        <v>96</v>
      </c>
      <c r="E366" s="40" t="s">
        <v>7</v>
      </c>
      <c r="F366" s="72">
        <v>1</v>
      </c>
    </row>
    <row r="367" s="40" customFormat="1" spans="1:6">
      <c r="A367" s="40" t="s">
        <v>750</v>
      </c>
      <c r="B367" s="39" t="s">
        <v>747</v>
      </c>
      <c r="C367" s="40" t="s">
        <v>890</v>
      </c>
      <c r="D367" s="40" t="s">
        <v>891</v>
      </c>
      <c r="E367" s="40" t="s">
        <v>7</v>
      </c>
      <c r="F367" s="72">
        <v>1</v>
      </c>
    </row>
    <row r="368" s="40" customFormat="1" spans="1:6">
      <c r="A368" s="40" t="s">
        <v>750</v>
      </c>
      <c r="B368" s="39" t="s">
        <v>747</v>
      </c>
      <c r="C368" s="40" t="s">
        <v>892</v>
      </c>
      <c r="D368" s="40" t="s">
        <v>893</v>
      </c>
      <c r="E368" s="40" t="s">
        <v>7</v>
      </c>
      <c r="F368" s="72">
        <v>1</v>
      </c>
    </row>
    <row r="369" s="40" customFormat="1" spans="1:6">
      <c r="A369" s="40" t="s">
        <v>750</v>
      </c>
      <c r="B369" s="39" t="s">
        <v>747</v>
      </c>
      <c r="C369" s="40" t="s">
        <v>894</v>
      </c>
      <c r="D369" s="40" t="s">
        <v>96</v>
      </c>
      <c r="E369" s="40" t="s">
        <v>7</v>
      </c>
      <c r="F369" s="72">
        <v>1</v>
      </c>
    </row>
    <row r="370" s="40" customFormat="1" spans="1:6">
      <c r="A370" s="40" t="s">
        <v>750</v>
      </c>
      <c r="B370" s="39" t="s">
        <v>747</v>
      </c>
      <c r="C370" s="40" t="s">
        <v>895</v>
      </c>
      <c r="D370" s="40" t="s">
        <v>96</v>
      </c>
      <c r="E370" s="40" t="s">
        <v>7</v>
      </c>
      <c r="F370" s="72">
        <v>1</v>
      </c>
    </row>
    <row r="371" s="40" customFormat="1" spans="1:6">
      <c r="A371" s="40" t="s">
        <v>750</v>
      </c>
      <c r="B371" s="39" t="s">
        <v>747</v>
      </c>
      <c r="C371" s="40" t="s">
        <v>896</v>
      </c>
      <c r="D371" s="40" t="s">
        <v>96</v>
      </c>
      <c r="E371" s="40" t="s">
        <v>7</v>
      </c>
      <c r="F371" s="72">
        <v>1</v>
      </c>
    </row>
    <row r="372" s="40" customFormat="1" spans="1:6">
      <c r="A372" s="40" t="s">
        <v>750</v>
      </c>
      <c r="B372" s="39" t="s">
        <v>747</v>
      </c>
      <c r="C372" s="40" t="s">
        <v>897</v>
      </c>
      <c r="D372" s="40" t="s">
        <v>96</v>
      </c>
      <c r="E372" s="40" t="s">
        <v>7</v>
      </c>
      <c r="F372" s="72">
        <v>1</v>
      </c>
    </row>
    <row r="373" s="40" customFormat="1" spans="1:6">
      <c r="A373" s="40" t="s">
        <v>750</v>
      </c>
      <c r="B373" s="39" t="s">
        <v>747</v>
      </c>
      <c r="C373" s="40" t="s">
        <v>898</v>
      </c>
      <c r="D373" s="40" t="s">
        <v>899</v>
      </c>
      <c r="E373" s="40" t="s">
        <v>7</v>
      </c>
      <c r="F373" s="72">
        <v>1</v>
      </c>
    </row>
    <row r="374" s="40" customFormat="1" spans="1:6">
      <c r="A374" s="40" t="s">
        <v>750</v>
      </c>
      <c r="B374" s="39" t="s">
        <v>747</v>
      </c>
      <c r="C374" s="40" t="s">
        <v>900</v>
      </c>
      <c r="D374" s="40" t="s">
        <v>330</v>
      </c>
      <c r="E374" s="40" t="s">
        <v>7</v>
      </c>
      <c r="F374" s="72">
        <v>1</v>
      </c>
    </row>
    <row r="375" s="40" customFormat="1" spans="1:6">
      <c r="A375" s="40" t="s">
        <v>750</v>
      </c>
      <c r="B375" s="39" t="s">
        <v>747</v>
      </c>
      <c r="C375" s="40" t="s">
        <v>901</v>
      </c>
      <c r="D375" s="40" t="s">
        <v>96</v>
      </c>
      <c r="E375" s="40" t="s">
        <v>7</v>
      </c>
      <c r="F375" s="72">
        <v>1</v>
      </c>
    </row>
    <row r="376" s="40" customFormat="1" spans="1:6">
      <c r="A376" s="40" t="s">
        <v>750</v>
      </c>
      <c r="B376" s="39" t="s">
        <v>747</v>
      </c>
      <c r="C376" s="40" t="s">
        <v>902</v>
      </c>
      <c r="D376" s="40" t="s">
        <v>903</v>
      </c>
      <c r="E376" s="40" t="s">
        <v>7</v>
      </c>
      <c r="F376" s="72">
        <v>1</v>
      </c>
    </row>
    <row r="377" s="40" customFormat="1" spans="1:6">
      <c r="A377" s="40" t="s">
        <v>750</v>
      </c>
      <c r="B377" s="39" t="s">
        <v>747</v>
      </c>
      <c r="C377" s="40" t="s">
        <v>904</v>
      </c>
      <c r="D377" s="40" t="s">
        <v>903</v>
      </c>
      <c r="E377" s="40" t="s">
        <v>7</v>
      </c>
      <c r="F377" s="72">
        <v>1</v>
      </c>
    </row>
    <row r="378" s="40" customFormat="1" spans="1:6">
      <c r="A378" s="40" t="s">
        <v>750</v>
      </c>
      <c r="B378" s="39" t="s">
        <v>747</v>
      </c>
      <c r="C378" s="40" t="s">
        <v>905</v>
      </c>
      <c r="D378" s="40" t="s">
        <v>903</v>
      </c>
      <c r="E378" s="40" t="s">
        <v>7</v>
      </c>
      <c r="F378" s="72">
        <v>1</v>
      </c>
    </row>
    <row r="379" s="40" customFormat="1" spans="1:6">
      <c r="A379" s="40" t="s">
        <v>750</v>
      </c>
      <c r="B379" s="39" t="s">
        <v>747</v>
      </c>
      <c r="C379" s="40" t="s">
        <v>906</v>
      </c>
      <c r="D379" s="40" t="s">
        <v>903</v>
      </c>
      <c r="E379" s="40" t="s">
        <v>7</v>
      </c>
      <c r="F379" s="72">
        <v>1</v>
      </c>
    </row>
    <row r="380" s="40" customFormat="1" spans="1:6">
      <c r="A380" s="40" t="s">
        <v>750</v>
      </c>
      <c r="B380" s="39" t="s">
        <v>747</v>
      </c>
      <c r="C380" s="40" t="s">
        <v>907</v>
      </c>
      <c r="D380" s="40" t="s">
        <v>903</v>
      </c>
      <c r="E380" s="40" t="s">
        <v>7</v>
      </c>
      <c r="F380" s="72">
        <v>1</v>
      </c>
    </row>
    <row r="381" s="40" customFormat="1" spans="1:6">
      <c r="A381" s="40" t="s">
        <v>750</v>
      </c>
      <c r="B381" s="39" t="s">
        <v>747</v>
      </c>
      <c r="C381" s="40" t="s">
        <v>908</v>
      </c>
      <c r="D381" s="40" t="s">
        <v>903</v>
      </c>
      <c r="E381" s="40" t="s">
        <v>7</v>
      </c>
      <c r="F381" s="72">
        <v>1</v>
      </c>
    </row>
    <row r="382" s="40" customFormat="1" spans="1:6">
      <c r="A382" s="40" t="s">
        <v>750</v>
      </c>
      <c r="B382" s="39" t="s">
        <v>747</v>
      </c>
      <c r="C382" s="40" t="s">
        <v>909</v>
      </c>
      <c r="D382" s="40" t="s">
        <v>903</v>
      </c>
      <c r="E382" s="40" t="s">
        <v>7</v>
      </c>
      <c r="F382" s="72">
        <v>1</v>
      </c>
    </row>
    <row r="383" s="40" customFormat="1" spans="1:6">
      <c r="A383" s="40" t="s">
        <v>750</v>
      </c>
      <c r="B383" s="39" t="s">
        <v>747</v>
      </c>
      <c r="C383" s="40" t="s">
        <v>910</v>
      </c>
      <c r="D383" s="40" t="s">
        <v>903</v>
      </c>
      <c r="E383" s="40" t="s">
        <v>7</v>
      </c>
      <c r="F383" s="72">
        <v>1</v>
      </c>
    </row>
    <row r="384" s="40" customFormat="1" spans="1:6">
      <c r="A384" s="40" t="s">
        <v>750</v>
      </c>
      <c r="B384" s="39" t="s">
        <v>747</v>
      </c>
      <c r="C384" s="40" t="s">
        <v>911</v>
      </c>
      <c r="D384" s="40" t="s">
        <v>121</v>
      </c>
      <c r="E384" s="40" t="s">
        <v>7</v>
      </c>
      <c r="F384" s="72">
        <v>1</v>
      </c>
    </row>
    <row r="385" s="40" customFormat="1" spans="1:6">
      <c r="A385" s="40" t="s">
        <v>750</v>
      </c>
      <c r="B385" s="39" t="s">
        <v>747</v>
      </c>
      <c r="C385" s="40" t="s">
        <v>912</v>
      </c>
      <c r="D385" s="40" t="s">
        <v>96</v>
      </c>
      <c r="E385" s="40" t="s">
        <v>7</v>
      </c>
      <c r="F385" s="72">
        <v>1</v>
      </c>
    </row>
    <row r="386" s="40" customFormat="1" spans="1:6">
      <c r="A386" s="40" t="s">
        <v>750</v>
      </c>
      <c r="B386" s="39" t="s">
        <v>747</v>
      </c>
      <c r="C386" s="40" t="s">
        <v>913</v>
      </c>
      <c r="D386" s="40" t="s">
        <v>914</v>
      </c>
      <c r="E386" s="40" t="s">
        <v>7</v>
      </c>
      <c r="F386" s="72">
        <v>1</v>
      </c>
    </row>
    <row r="387" s="40" customFormat="1" spans="1:6">
      <c r="A387" s="40" t="s">
        <v>750</v>
      </c>
      <c r="B387" s="39" t="s">
        <v>747</v>
      </c>
      <c r="C387" s="40" t="s">
        <v>915</v>
      </c>
      <c r="D387" s="40" t="s">
        <v>916</v>
      </c>
      <c r="E387" s="40" t="s">
        <v>7</v>
      </c>
      <c r="F387" s="72">
        <v>1</v>
      </c>
    </row>
    <row r="388" spans="1:6">
      <c r="A388" s="40" t="s">
        <v>750</v>
      </c>
      <c r="B388" s="39" t="s">
        <v>747</v>
      </c>
      <c r="C388" s="40" t="s">
        <v>917</v>
      </c>
      <c r="D388" s="40" t="s">
        <v>918</v>
      </c>
      <c r="E388" s="40" t="s">
        <v>7</v>
      </c>
      <c r="F388" s="72">
        <v>1</v>
      </c>
    </row>
    <row r="389" spans="1:6">
      <c r="A389" s="40" t="s">
        <v>750</v>
      </c>
      <c r="B389" s="39" t="s">
        <v>747</v>
      </c>
      <c r="C389" s="40" t="s">
        <v>919</v>
      </c>
      <c r="D389" s="40" t="s">
        <v>918</v>
      </c>
      <c r="E389" s="40" t="s">
        <v>7</v>
      </c>
      <c r="F389" s="72">
        <v>1</v>
      </c>
    </row>
    <row r="390" spans="1:6">
      <c r="A390" s="40" t="s">
        <v>750</v>
      </c>
      <c r="B390" s="39" t="s">
        <v>747</v>
      </c>
      <c r="C390" s="40" t="s">
        <v>920</v>
      </c>
      <c r="D390" s="40" t="s">
        <v>918</v>
      </c>
      <c r="E390" s="40" t="s">
        <v>7</v>
      </c>
      <c r="F390" s="72">
        <v>1</v>
      </c>
    </row>
    <row r="391" spans="1:6">
      <c r="A391" s="40" t="s">
        <v>750</v>
      </c>
      <c r="B391" s="39" t="s">
        <v>747</v>
      </c>
      <c r="C391" s="40" t="s">
        <v>921</v>
      </c>
      <c r="D391" s="40" t="s">
        <v>918</v>
      </c>
      <c r="E391" s="40" t="s">
        <v>7</v>
      </c>
      <c r="F391" s="72">
        <v>1</v>
      </c>
    </row>
    <row r="392" spans="1:6">
      <c r="A392" s="40" t="s">
        <v>750</v>
      </c>
      <c r="B392" s="39" t="s">
        <v>747</v>
      </c>
      <c r="C392" s="40" t="s">
        <v>922</v>
      </c>
      <c r="D392" s="40" t="s">
        <v>918</v>
      </c>
      <c r="E392" s="40" t="s">
        <v>7</v>
      </c>
      <c r="F392" s="72">
        <v>1</v>
      </c>
    </row>
    <row r="393" spans="1:6">
      <c r="A393" s="40" t="s">
        <v>750</v>
      </c>
      <c r="B393" s="39" t="s">
        <v>747</v>
      </c>
      <c r="C393" s="40" t="s">
        <v>923</v>
      </c>
      <c r="D393" s="40" t="s">
        <v>918</v>
      </c>
      <c r="E393" s="40" t="s">
        <v>7</v>
      </c>
      <c r="F393" s="72">
        <v>1</v>
      </c>
    </row>
    <row r="394" spans="1:6">
      <c r="A394" s="40" t="s">
        <v>750</v>
      </c>
      <c r="B394" s="39" t="s">
        <v>747</v>
      </c>
      <c r="C394" s="40" t="s">
        <v>924</v>
      </c>
      <c r="D394" s="40" t="s">
        <v>918</v>
      </c>
      <c r="E394" s="40" t="s">
        <v>7</v>
      </c>
      <c r="F394" s="72">
        <v>1</v>
      </c>
    </row>
    <row r="395" spans="1:6">
      <c r="A395" s="40" t="s">
        <v>750</v>
      </c>
      <c r="B395" s="39" t="s">
        <v>747</v>
      </c>
      <c r="C395" s="40" t="s">
        <v>925</v>
      </c>
      <c r="D395" s="40" t="s">
        <v>918</v>
      </c>
      <c r="E395" s="40" t="s">
        <v>7</v>
      </c>
      <c r="F395" s="72">
        <v>1</v>
      </c>
    </row>
    <row r="396" spans="1:6">
      <c r="A396" s="40" t="s">
        <v>750</v>
      </c>
      <c r="B396" s="39" t="s">
        <v>747</v>
      </c>
      <c r="C396" s="40" t="s">
        <v>926</v>
      </c>
      <c r="D396" s="40" t="s">
        <v>918</v>
      </c>
      <c r="E396" s="40" t="s">
        <v>7</v>
      </c>
      <c r="F396" s="72">
        <v>1</v>
      </c>
    </row>
    <row r="397" spans="1:6">
      <c r="A397" s="40" t="s">
        <v>750</v>
      </c>
      <c r="B397" s="39" t="s">
        <v>747</v>
      </c>
      <c r="C397" s="40" t="s">
        <v>927</v>
      </c>
      <c r="D397" s="40" t="s">
        <v>918</v>
      </c>
      <c r="E397" s="40" t="s">
        <v>7</v>
      </c>
      <c r="F397" s="72">
        <v>1</v>
      </c>
    </row>
    <row r="398" spans="1:6">
      <c r="A398" s="40" t="s">
        <v>750</v>
      </c>
      <c r="B398" s="39" t="s">
        <v>747</v>
      </c>
      <c r="C398" s="40" t="s">
        <v>928</v>
      </c>
      <c r="D398" s="40" t="s">
        <v>918</v>
      </c>
      <c r="E398" s="40" t="s">
        <v>7</v>
      </c>
      <c r="F398" s="72">
        <v>1</v>
      </c>
    </row>
    <row r="399" spans="1:6">
      <c r="A399" s="40" t="s">
        <v>750</v>
      </c>
      <c r="B399" s="39" t="s">
        <v>747</v>
      </c>
      <c r="C399" s="40" t="s">
        <v>929</v>
      </c>
      <c r="D399" s="40" t="s">
        <v>918</v>
      </c>
      <c r="E399" s="40" t="s">
        <v>7</v>
      </c>
      <c r="F399" s="72">
        <v>1</v>
      </c>
    </row>
    <row r="400" spans="1:6">
      <c r="A400" s="40" t="s">
        <v>750</v>
      </c>
      <c r="B400" s="39" t="s">
        <v>747</v>
      </c>
      <c r="C400" s="40" t="s">
        <v>930</v>
      </c>
      <c r="D400" s="40" t="s">
        <v>918</v>
      </c>
      <c r="E400" s="40" t="s">
        <v>7</v>
      </c>
      <c r="F400" s="72">
        <v>1</v>
      </c>
    </row>
    <row r="401" spans="1:6">
      <c r="A401" s="40" t="s">
        <v>750</v>
      </c>
      <c r="B401" s="39" t="s">
        <v>747</v>
      </c>
      <c r="C401" s="40" t="s">
        <v>931</v>
      </c>
      <c r="D401" s="40" t="s">
        <v>918</v>
      </c>
      <c r="E401" s="40" t="s">
        <v>7</v>
      </c>
      <c r="F401" s="72">
        <v>1</v>
      </c>
    </row>
    <row r="402" spans="1:6">
      <c r="A402" s="40" t="s">
        <v>750</v>
      </c>
      <c r="B402" s="39" t="s">
        <v>747</v>
      </c>
      <c r="C402" s="40" t="s">
        <v>932</v>
      </c>
      <c r="D402" s="40" t="s">
        <v>918</v>
      </c>
      <c r="E402" s="40" t="s">
        <v>7</v>
      </c>
      <c r="F402" s="72">
        <v>1</v>
      </c>
    </row>
    <row r="403" spans="1:6">
      <c r="A403" s="40" t="s">
        <v>750</v>
      </c>
      <c r="B403" s="39" t="s">
        <v>747</v>
      </c>
      <c r="C403" s="40" t="s">
        <v>933</v>
      </c>
      <c r="D403" s="40" t="s">
        <v>918</v>
      </c>
      <c r="E403" s="40" t="s">
        <v>7</v>
      </c>
      <c r="F403" s="72">
        <v>1</v>
      </c>
    </row>
    <row r="404" spans="1:6">
      <c r="A404" s="40" t="s">
        <v>750</v>
      </c>
      <c r="B404" s="39" t="s">
        <v>747</v>
      </c>
      <c r="C404" s="40" t="s">
        <v>934</v>
      </c>
      <c r="D404" s="40" t="s">
        <v>918</v>
      </c>
      <c r="E404" s="40" t="s">
        <v>7</v>
      </c>
      <c r="F404" s="72">
        <v>1</v>
      </c>
    </row>
    <row r="405" spans="1:6">
      <c r="A405" s="40" t="s">
        <v>750</v>
      </c>
      <c r="B405" s="39" t="s">
        <v>747</v>
      </c>
      <c r="C405" s="40" t="s">
        <v>935</v>
      </c>
      <c r="D405" s="40" t="s">
        <v>918</v>
      </c>
      <c r="E405" s="40" t="s">
        <v>7</v>
      </c>
      <c r="F405" s="72">
        <v>1</v>
      </c>
    </row>
    <row r="406" spans="1:6">
      <c r="A406" s="40" t="s">
        <v>750</v>
      </c>
      <c r="B406" s="39" t="s">
        <v>747</v>
      </c>
      <c r="C406" s="40" t="s">
        <v>936</v>
      </c>
      <c r="D406" s="40" t="s">
        <v>918</v>
      </c>
      <c r="E406" s="40" t="s">
        <v>7</v>
      </c>
      <c r="F406" s="72">
        <v>1</v>
      </c>
    </row>
    <row r="407" spans="1:6">
      <c r="A407" s="40" t="s">
        <v>750</v>
      </c>
      <c r="B407" s="39" t="s">
        <v>747</v>
      </c>
      <c r="C407" s="40" t="s">
        <v>937</v>
      </c>
      <c r="D407" s="40" t="s">
        <v>918</v>
      </c>
      <c r="E407" s="40" t="s">
        <v>7</v>
      </c>
      <c r="F407" s="72">
        <v>1</v>
      </c>
    </row>
    <row r="408" spans="1:6">
      <c r="A408" s="40" t="s">
        <v>750</v>
      </c>
      <c r="B408" s="39" t="s">
        <v>747</v>
      </c>
      <c r="C408" s="40" t="s">
        <v>938</v>
      </c>
      <c r="D408" s="40" t="s">
        <v>918</v>
      </c>
      <c r="E408" s="40" t="s">
        <v>7</v>
      </c>
      <c r="F408" s="72">
        <v>1</v>
      </c>
    </row>
    <row r="409" spans="1:6">
      <c r="A409" s="40" t="s">
        <v>750</v>
      </c>
      <c r="B409" s="39" t="s">
        <v>747</v>
      </c>
      <c r="C409" s="40" t="s">
        <v>939</v>
      </c>
      <c r="D409" s="40" t="s">
        <v>918</v>
      </c>
      <c r="E409" s="40" t="s">
        <v>7</v>
      </c>
      <c r="F409" s="72">
        <v>1</v>
      </c>
    </row>
    <row r="410" spans="1:6">
      <c r="A410" s="40" t="s">
        <v>750</v>
      </c>
      <c r="B410" s="39" t="s">
        <v>747</v>
      </c>
      <c r="C410" s="40" t="s">
        <v>940</v>
      </c>
      <c r="D410" s="40" t="s">
        <v>918</v>
      </c>
      <c r="E410" s="40" t="s">
        <v>7</v>
      </c>
      <c r="F410" s="72">
        <v>1</v>
      </c>
    </row>
    <row r="411" spans="1:6">
      <c r="A411" s="40" t="s">
        <v>750</v>
      </c>
      <c r="B411" s="39" t="s">
        <v>747</v>
      </c>
      <c r="C411" s="40" t="s">
        <v>941</v>
      </c>
      <c r="D411" s="40" t="s">
        <v>918</v>
      </c>
      <c r="E411" s="40" t="s">
        <v>7</v>
      </c>
      <c r="F411" s="72">
        <v>1</v>
      </c>
    </row>
    <row r="412" spans="1:6">
      <c r="A412" s="40" t="s">
        <v>750</v>
      </c>
      <c r="B412" s="39" t="s">
        <v>747</v>
      </c>
      <c r="C412" s="40" t="s">
        <v>942</v>
      </c>
      <c r="D412" s="40" t="s">
        <v>918</v>
      </c>
      <c r="E412" s="40" t="s">
        <v>7</v>
      </c>
      <c r="F412" s="72">
        <v>1</v>
      </c>
    </row>
    <row r="413" spans="1:6">
      <c r="A413" s="40" t="s">
        <v>750</v>
      </c>
      <c r="B413" s="39" t="s">
        <v>747</v>
      </c>
      <c r="C413" s="40" t="s">
        <v>943</v>
      </c>
      <c r="D413" s="40" t="s">
        <v>918</v>
      </c>
      <c r="E413" s="40" t="s">
        <v>7</v>
      </c>
      <c r="F413" s="72">
        <v>1</v>
      </c>
    </row>
    <row r="414" spans="1:6">
      <c r="A414" s="40" t="s">
        <v>750</v>
      </c>
      <c r="B414" s="39" t="s">
        <v>747</v>
      </c>
      <c r="C414" s="40" t="s">
        <v>944</v>
      </c>
      <c r="D414" s="40" t="s">
        <v>918</v>
      </c>
      <c r="E414" s="40" t="s">
        <v>7</v>
      </c>
      <c r="F414" s="72">
        <v>1</v>
      </c>
    </row>
    <row r="415" spans="1:6">
      <c r="A415" s="40" t="s">
        <v>750</v>
      </c>
      <c r="B415" s="39" t="s">
        <v>747</v>
      </c>
      <c r="C415" s="40" t="s">
        <v>945</v>
      </c>
      <c r="D415" s="40" t="s">
        <v>918</v>
      </c>
      <c r="E415" s="40" t="s">
        <v>7</v>
      </c>
      <c r="F415" s="72">
        <v>1</v>
      </c>
    </row>
    <row r="416" spans="1:6">
      <c r="A416" s="40" t="s">
        <v>750</v>
      </c>
      <c r="B416" s="39" t="s">
        <v>747</v>
      </c>
      <c r="C416" s="40" t="s">
        <v>946</v>
      </c>
      <c r="D416" s="40" t="s">
        <v>947</v>
      </c>
      <c r="E416" s="40" t="s">
        <v>7</v>
      </c>
      <c r="F416" s="72">
        <v>1</v>
      </c>
    </row>
    <row r="417" spans="1:6">
      <c r="A417" s="40" t="s">
        <v>750</v>
      </c>
      <c r="B417" s="39" t="s">
        <v>747</v>
      </c>
      <c r="C417" s="40" t="s">
        <v>948</v>
      </c>
      <c r="D417" s="40" t="s">
        <v>947</v>
      </c>
      <c r="E417" s="40" t="s">
        <v>7</v>
      </c>
      <c r="F417" s="72">
        <v>1</v>
      </c>
    </row>
    <row r="418" spans="1:6">
      <c r="A418" s="40" t="s">
        <v>750</v>
      </c>
      <c r="B418" s="39" t="s">
        <v>747</v>
      </c>
      <c r="C418" s="40" t="s">
        <v>949</v>
      </c>
      <c r="D418" s="40" t="s">
        <v>947</v>
      </c>
      <c r="E418" s="40" t="s">
        <v>7</v>
      </c>
      <c r="F418" s="72">
        <v>1</v>
      </c>
    </row>
    <row r="419" spans="1:6">
      <c r="A419" s="40" t="s">
        <v>750</v>
      </c>
      <c r="B419" s="39" t="s">
        <v>747</v>
      </c>
      <c r="C419" s="40" t="s">
        <v>950</v>
      </c>
      <c r="D419" s="40" t="s">
        <v>947</v>
      </c>
      <c r="E419" s="40" t="s">
        <v>7</v>
      </c>
      <c r="F419" s="72">
        <v>1</v>
      </c>
    </row>
    <row r="420" spans="1:6">
      <c r="A420" s="40" t="s">
        <v>750</v>
      </c>
      <c r="B420" s="39" t="s">
        <v>747</v>
      </c>
      <c r="C420" s="40" t="s">
        <v>951</v>
      </c>
      <c r="D420" s="40" t="s">
        <v>947</v>
      </c>
      <c r="E420" s="40" t="s">
        <v>7</v>
      </c>
      <c r="F420" s="72">
        <v>1</v>
      </c>
    </row>
    <row r="421" spans="1:6">
      <c r="A421" s="40" t="s">
        <v>750</v>
      </c>
      <c r="B421" s="39" t="s">
        <v>747</v>
      </c>
      <c r="C421" s="40" t="s">
        <v>952</v>
      </c>
      <c r="D421" s="40" t="s">
        <v>947</v>
      </c>
      <c r="E421" s="40" t="s">
        <v>7</v>
      </c>
      <c r="F421" s="72">
        <v>1</v>
      </c>
    </row>
    <row r="422" spans="1:6">
      <c r="A422" s="40" t="s">
        <v>750</v>
      </c>
      <c r="B422" s="39" t="s">
        <v>747</v>
      </c>
      <c r="C422" s="40" t="s">
        <v>953</v>
      </c>
      <c r="D422" s="40" t="s">
        <v>947</v>
      </c>
      <c r="E422" s="40" t="s">
        <v>7</v>
      </c>
      <c r="F422" s="72">
        <v>1</v>
      </c>
    </row>
    <row r="423" spans="1:6">
      <c r="A423" s="40" t="s">
        <v>750</v>
      </c>
      <c r="B423" s="39" t="s">
        <v>747</v>
      </c>
      <c r="C423" s="40" t="s">
        <v>954</v>
      </c>
      <c r="D423" s="40" t="s">
        <v>947</v>
      </c>
      <c r="E423" s="40" t="s">
        <v>7</v>
      </c>
      <c r="F423" s="72">
        <v>1</v>
      </c>
    </row>
    <row r="424" spans="1:6">
      <c r="A424" s="40" t="s">
        <v>750</v>
      </c>
      <c r="B424" s="39" t="s">
        <v>747</v>
      </c>
      <c r="C424" s="40" t="s">
        <v>955</v>
      </c>
      <c r="D424" s="40" t="s">
        <v>947</v>
      </c>
      <c r="E424" s="40" t="s">
        <v>7</v>
      </c>
      <c r="F424" s="72">
        <v>1</v>
      </c>
    </row>
    <row r="425" spans="1:6">
      <c r="A425" s="40" t="s">
        <v>750</v>
      </c>
      <c r="B425" s="39" t="s">
        <v>747</v>
      </c>
      <c r="C425" s="40" t="s">
        <v>956</v>
      </c>
      <c r="D425" s="40" t="s">
        <v>947</v>
      </c>
      <c r="E425" s="40" t="s">
        <v>7</v>
      </c>
      <c r="F425" s="72">
        <v>1</v>
      </c>
    </row>
    <row r="426" spans="1:6">
      <c r="A426" s="40" t="s">
        <v>750</v>
      </c>
      <c r="B426" s="39" t="s">
        <v>747</v>
      </c>
      <c r="C426" s="40" t="s">
        <v>957</v>
      </c>
      <c r="D426" s="40" t="s">
        <v>947</v>
      </c>
      <c r="E426" s="40" t="s">
        <v>7</v>
      </c>
      <c r="F426" s="72">
        <v>1</v>
      </c>
    </row>
    <row r="427" spans="1:6">
      <c r="A427" s="40" t="s">
        <v>750</v>
      </c>
      <c r="B427" s="39" t="s">
        <v>747</v>
      </c>
      <c r="C427" s="40" t="s">
        <v>958</v>
      </c>
      <c r="D427" s="40" t="s">
        <v>947</v>
      </c>
      <c r="E427" s="40" t="s">
        <v>7</v>
      </c>
      <c r="F427" s="72">
        <v>1</v>
      </c>
    </row>
    <row r="428" spans="1:6">
      <c r="A428" s="40" t="s">
        <v>750</v>
      </c>
      <c r="B428" s="39" t="s">
        <v>747</v>
      </c>
      <c r="C428" s="40" t="s">
        <v>959</v>
      </c>
      <c r="D428" s="40" t="s">
        <v>947</v>
      </c>
      <c r="E428" s="40" t="s">
        <v>7</v>
      </c>
      <c r="F428" s="72">
        <v>1</v>
      </c>
    </row>
    <row r="429" spans="1:6">
      <c r="A429" s="40" t="s">
        <v>750</v>
      </c>
      <c r="B429" s="39" t="s">
        <v>747</v>
      </c>
      <c r="C429" s="40" t="s">
        <v>960</v>
      </c>
      <c r="D429" s="40" t="s">
        <v>947</v>
      </c>
      <c r="E429" s="40" t="s">
        <v>7</v>
      </c>
      <c r="F429" s="72">
        <v>1</v>
      </c>
    </row>
    <row r="430" spans="1:6">
      <c r="A430" s="40" t="s">
        <v>750</v>
      </c>
      <c r="B430" s="39" t="s">
        <v>747</v>
      </c>
      <c r="C430" s="40" t="s">
        <v>961</v>
      </c>
      <c r="D430" s="40" t="s">
        <v>947</v>
      </c>
      <c r="E430" s="40" t="s">
        <v>7</v>
      </c>
      <c r="F430" s="72">
        <v>1</v>
      </c>
    </row>
    <row r="431" spans="1:6">
      <c r="A431" s="40" t="s">
        <v>750</v>
      </c>
      <c r="B431" s="39" t="s">
        <v>747</v>
      </c>
      <c r="C431" s="40" t="s">
        <v>962</v>
      </c>
      <c r="D431" s="40" t="s">
        <v>947</v>
      </c>
      <c r="E431" s="40" t="s">
        <v>7</v>
      </c>
      <c r="F431" s="72">
        <v>1</v>
      </c>
    </row>
    <row r="432" spans="1:6">
      <c r="A432" s="40" t="s">
        <v>750</v>
      </c>
      <c r="B432" s="39" t="s">
        <v>747</v>
      </c>
      <c r="C432" s="40" t="s">
        <v>963</v>
      </c>
      <c r="D432" s="40" t="s">
        <v>947</v>
      </c>
      <c r="E432" s="40" t="s">
        <v>7</v>
      </c>
      <c r="F432" s="72">
        <v>1</v>
      </c>
    </row>
    <row r="433" spans="1:6">
      <c r="A433" s="40" t="s">
        <v>750</v>
      </c>
      <c r="B433" s="39" t="s">
        <v>747</v>
      </c>
      <c r="C433" s="40" t="s">
        <v>964</v>
      </c>
      <c r="D433" s="40" t="s">
        <v>947</v>
      </c>
      <c r="E433" s="40" t="s">
        <v>7</v>
      </c>
      <c r="F433" s="72">
        <v>1</v>
      </c>
    </row>
    <row r="434" spans="1:6">
      <c r="A434" s="40" t="s">
        <v>750</v>
      </c>
      <c r="B434" s="39" t="s">
        <v>747</v>
      </c>
      <c r="C434" s="40" t="s">
        <v>965</v>
      </c>
      <c r="D434" s="40" t="s">
        <v>947</v>
      </c>
      <c r="E434" s="40" t="s">
        <v>7</v>
      </c>
      <c r="F434" s="72">
        <v>1</v>
      </c>
    </row>
    <row r="435" spans="1:6">
      <c r="A435" s="40" t="s">
        <v>750</v>
      </c>
      <c r="B435" s="39" t="s">
        <v>747</v>
      </c>
      <c r="C435" s="40" t="s">
        <v>966</v>
      </c>
      <c r="D435" s="40" t="s">
        <v>947</v>
      </c>
      <c r="E435" s="40" t="s">
        <v>7</v>
      </c>
      <c r="F435" s="72">
        <v>1</v>
      </c>
    </row>
    <row r="436" spans="1:6">
      <c r="A436" s="40" t="s">
        <v>750</v>
      </c>
      <c r="B436" s="39" t="s">
        <v>747</v>
      </c>
      <c r="C436" s="40" t="s">
        <v>967</v>
      </c>
      <c r="D436" s="40" t="s">
        <v>947</v>
      </c>
      <c r="E436" s="40" t="s">
        <v>7</v>
      </c>
      <c r="F436" s="72">
        <v>1</v>
      </c>
    </row>
    <row r="437" spans="1:6">
      <c r="A437" s="40" t="s">
        <v>750</v>
      </c>
      <c r="B437" s="39" t="s">
        <v>747</v>
      </c>
      <c r="C437" s="40" t="s">
        <v>968</v>
      </c>
      <c r="D437" s="40" t="s">
        <v>947</v>
      </c>
      <c r="E437" s="40" t="s">
        <v>7</v>
      </c>
      <c r="F437" s="72">
        <v>1</v>
      </c>
    </row>
    <row r="438" spans="1:6">
      <c r="A438" s="40" t="s">
        <v>750</v>
      </c>
      <c r="B438" s="39" t="s">
        <v>747</v>
      </c>
      <c r="C438" s="40" t="s">
        <v>969</v>
      </c>
      <c r="D438" s="40" t="s">
        <v>947</v>
      </c>
      <c r="E438" s="40" t="s">
        <v>7</v>
      </c>
      <c r="F438" s="72">
        <v>1</v>
      </c>
    </row>
    <row r="439" spans="1:6">
      <c r="A439" s="40" t="s">
        <v>750</v>
      </c>
      <c r="B439" s="39" t="s">
        <v>747</v>
      </c>
      <c r="C439" s="40" t="s">
        <v>970</v>
      </c>
      <c r="D439" s="40" t="s">
        <v>947</v>
      </c>
      <c r="E439" s="40" t="s">
        <v>7</v>
      </c>
      <c r="F439" s="72">
        <v>1</v>
      </c>
    </row>
    <row r="440" spans="1:6">
      <c r="A440" s="40" t="s">
        <v>750</v>
      </c>
      <c r="B440" s="39" t="s">
        <v>747</v>
      </c>
      <c r="C440" s="40" t="s">
        <v>971</v>
      </c>
      <c r="D440" s="40" t="s">
        <v>947</v>
      </c>
      <c r="E440" s="40" t="s">
        <v>7</v>
      </c>
      <c r="F440" s="72">
        <v>1</v>
      </c>
    </row>
    <row r="441" spans="1:6">
      <c r="A441" s="40" t="s">
        <v>750</v>
      </c>
      <c r="B441" s="39" t="s">
        <v>747</v>
      </c>
      <c r="C441" s="40" t="s">
        <v>972</v>
      </c>
      <c r="D441" s="40" t="s">
        <v>947</v>
      </c>
      <c r="E441" s="40" t="s">
        <v>7</v>
      </c>
      <c r="F441" s="72">
        <v>1</v>
      </c>
    </row>
    <row r="442" spans="1:6">
      <c r="A442" s="40" t="s">
        <v>750</v>
      </c>
      <c r="B442" s="39" t="s">
        <v>747</v>
      </c>
      <c r="C442" s="40" t="s">
        <v>973</v>
      </c>
      <c r="D442" s="40" t="s">
        <v>947</v>
      </c>
      <c r="E442" s="40" t="s">
        <v>7</v>
      </c>
      <c r="F442" s="72">
        <v>1</v>
      </c>
    </row>
    <row r="443" spans="1:6">
      <c r="A443" s="40" t="s">
        <v>750</v>
      </c>
      <c r="B443" s="39" t="s">
        <v>747</v>
      </c>
      <c r="C443" s="40" t="s">
        <v>974</v>
      </c>
      <c r="D443" s="40" t="s">
        <v>947</v>
      </c>
      <c r="E443" s="40" t="s">
        <v>7</v>
      </c>
      <c r="F443" s="72">
        <v>1</v>
      </c>
    </row>
    <row r="444" spans="1:6">
      <c r="A444" s="40" t="s">
        <v>750</v>
      </c>
      <c r="B444" s="39" t="s">
        <v>747</v>
      </c>
      <c r="C444" s="40" t="s">
        <v>975</v>
      </c>
      <c r="D444" s="40" t="s">
        <v>947</v>
      </c>
      <c r="E444" s="40" t="s">
        <v>7</v>
      </c>
      <c r="F444" s="72">
        <v>1</v>
      </c>
    </row>
    <row r="445" spans="1:6">
      <c r="A445" s="40" t="s">
        <v>750</v>
      </c>
      <c r="B445" s="39" t="s">
        <v>747</v>
      </c>
      <c r="C445" s="40" t="s">
        <v>976</v>
      </c>
      <c r="D445" s="40" t="s">
        <v>947</v>
      </c>
      <c r="E445" s="40" t="s">
        <v>7</v>
      </c>
      <c r="F445" s="72">
        <v>1</v>
      </c>
    </row>
    <row r="446" spans="1:6">
      <c r="A446" s="40" t="s">
        <v>750</v>
      </c>
      <c r="B446" s="39" t="s">
        <v>747</v>
      </c>
      <c r="C446" s="40" t="s">
        <v>977</v>
      </c>
      <c r="D446" s="40" t="s">
        <v>947</v>
      </c>
      <c r="E446" s="40" t="s">
        <v>7</v>
      </c>
      <c r="F446" s="72">
        <v>1</v>
      </c>
    </row>
    <row r="447" spans="1:6">
      <c r="A447" s="40" t="s">
        <v>750</v>
      </c>
      <c r="B447" s="39" t="s">
        <v>747</v>
      </c>
      <c r="C447" s="40" t="s">
        <v>978</v>
      </c>
      <c r="D447" s="40" t="s">
        <v>979</v>
      </c>
      <c r="E447" s="40" t="s">
        <v>7</v>
      </c>
      <c r="F447" s="72">
        <v>1</v>
      </c>
    </row>
    <row r="448" spans="1:6">
      <c r="A448" s="40" t="s">
        <v>750</v>
      </c>
      <c r="B448" s="39" t="s">
        <v>747</v>
      </c>
      <c r="C448" s="40" t="s">
        <v>980</v>
      </c>
      <c r="D448" s="40" t="s">
        <v>979</v>
      </c>
      <c r="E448" s="40" t="s">
        <v>7</v>
      </c>
      <c r="F448" s="72">
        <v>1</v>
      </c>
    </row>
    <row r="449" spans="1:6">
      <c r="A449" s="40" t="s">
        <v>750</v>
      </c>
      <c r="B449" s="39" t="s">
        <v>747</v>
      </c>
      <c r="C449" s="40" t="s">
        <v>981</v>
      </c>
      <c r="D449" s="40" t="s">
        <v>979</v>
      </c>
      <c r="E449" s="40" t="s">
        <v>7</v>
      </c>
      <c r="F449" s="72">
        <v>1</v>
      </c>
    </row>
    <row r="450" spans="1:6">
      <c r="A450" s="40" t="s">
        <v>750</v>
      </c>
      <c r="B450" s="39" t="s">
        <v>747</v>
      </c>
      <c r="C450" s="40" t="s">
        <v>982</v>
      </c>
      <c r="D450" s="40" t="s">
        <v>979</v>
      </c>
      <c r="E450" s="40" t="s">
        <v>7</v>
      </c>
      <c r="F450" s="72">
        <v>1</v>
      </c>
    </row>
    <row r="451" spans="1:6">
      <c r="A451" s="40" t="s">
        <v>750</v>
      </c>
      <c r="B451" s="39" t="s">
        <v>747</v>
      </c>
      <c r="C451" s="40" t="s">
        <v>983</v>
      </c>
      <c r="D451" s="40" t="s">
        <v>979</v>
      </c>
      <c r="E451" s="40" t="s">
        <v>7</v>
      </c>
      <c r="F451" s="72">
        <v>1</v>
      </c>
    </row>
    <row r="452" spans="1:6">
      <c r="A452" s="40" t="s">
        <v>750</v>
      </c>
      <c r="B452" s="39" t="s">
        <v>747</v>
      </c>
      <c r="C452" s="40" t="s">
        <v>984</v>
      </c>
      <c r="D452" s="40" t="s">
        <v>979</v>
      </c>
      <c r="E452" s="40" t="s">
        <v>7</v>
      </c>
      <c r="F452" s="72">
        <v>1</v>
      </c>
    </row>
    <row r="453" spans="1:6">
      <c r="A453" s="40" t="s">
        <v>750</v>
      </c>
      <c r="B453" s="39" t="s">
        <v>747</v>
      </c>
      <c r="C453" s="40" t="s">
        <v>985</v>
      </c>
      <c r="D453" s="40" t="s">
        <v>979</v>
      </c>
      <c r="E453" s="40" t="s">
        <v>7</v>
      </c>
      <c r="F453" s="72">
        <v>1</v>
      </c>
    </row>
    <row r="454" spans="1:6">
      <c r="A454" s="40" t="s">
        <v>750</v>
      </c>
      <c r="B454" s="39" t="s">
        <v>747</v>
      </c>
      <c r="C454" s="40" t="s">
        <v>986</v>
      </c>
      <c r="D454" s="40" t="s">
        <v>979</v>
      </c>
      <c r="E454" s="40" t="s">
        <v>7</v>
      </c>
      <c r="F454" s="72">
        <v>1</v>
      </c>
    </row>
    <row r="455" spans="1:6">
      <c r="A455" s="40" t="s">
        <v>750</v>
      </c>
      <c r="B455" s="39" t="s">
        <v>747</v>
      </c>
      <c r="C455" s="40" t="s">
        <v>987</v>
      </c>
      <c r="D455" s="40" t="s">
        <v>979</v>
      </c>
      <c r="E455" s="40" t="s">
        <v>7</v>
      </c>
      <c r="F455" s="72">
        <v>1</v>
      </c>
    </row>
    <row r="456" spans="1:6">
      <c r="A456" s="40" t="s">
        <v>750</v>
      </c>
      <c r="B456" s="39" t="s">
        <v>747</v>
      </c>
      <c r="C456" s="40" t="s">
        <v>988</v>
      </c>
      <c r="D456" s="40" t="s">
        <v>979</v>
      </c>
      <c r="E456" s="40" t="s">
        <v>7</v>
      </c>
      <c r="F456" s="72">
        <v>1</v>
      </c>
    </row>
    <row r="457" spans="1:6">
      <c r="A457" s="40" t="s">
        <v>750</v>
      </c>
      <c r="B457" s="39" t="s">
        <v>747</v>
      </c>
      <c r="C457" s="40" t="s">
        <v>989</v>
      </c>
      <c r="D457" s="40" t="s">
        <v>979</v>
      </c>
      <c r="E457" s="40" t="s">
        <v>7</v>
      </c>
      <c r="F457" s="72">
        <v>1</v>
      </c>
    </row>
    <row r="458" spans="1:6">
      <c r="A458" s="40" t="s">
        <v>750</v>
      </c>
      <c r="B458" s="39" t="s">
        <v>747</v>
      </c>
      <c r="C458" s="40" t="s">
        <v>990</v>
      </c>
      <c r="D458" s="40" t="s">
        <v>979</v>
      </c>
      <c r="E458" s="40" t="s">
        <v>7</v>
      </c>
      <c r="F458" s="72">
        <v>1</v>
      </c>
    </row>
    <row r="459" spans="1:6">
      <c r="A459" s="40" t="s">
        <v>750</v>
      </c>
      <c r="B459" s="39" t="s">
        <v>747</v>
      </c>
      <c r="C459" s="40" t="s">
        <v>991</v>
      </c>
      <c r="D459" s="40" t="s">
        <v>979</v>
      </c>
      <c r="E459" s="40" t="s">
        <v>7</v>
      </c>
      <c r="F459" s="72">
        <v>1</v>
      </c>
    </row>
    <row r="460" spans="1:6">
      <c r="A460" s="40" t="s">
        <v>750</v>
      </c>
      <c r="B460" s="39" t="s">
        <v>747</v>
      </c>
      <c r="C460" s="40" t="s">
        <v>992</v>
      </c>
      <c r="D460" s="40" t="s">
        <v>979</v>
      </c>
      <c r="E460" s="40" t="s">
        <v>7</v>
      </c>
      <c r="F460" s="72">
        <v>1</v>
      </c>
    </row>
    <row r="461" spans="1:6">
      <c r="A461" s="40" t="s">
        <v>750</v>
      </c>
      <c r="B461" s="39" t="s">
        <v>747</v>
      </c>
      <c r="C461" s="40" t="s">
        <v>993</v>
      </c>
      <c r="D461" s="40" t="s">
        <v>979</v>
      </c>
      <c r="E461" s="40" t="s">
        <v>7</v>
      </c>
      <c r="F461" s="72">
        <v>1</v>
      </c>
    </row>
    <row r="462" spans="1:6">
      <c r="A462" s="40" t="s">
        <v>750</v>
      </c>
      <c r="B462" s="39" t="s">
        <v>747</v>
      </c>
      <c r="C462" s="40" t="s">
        <v>994</v>
      </c>
      <c r="D462" s="40" t="s">
        <v>979</v>
      </c>
      <c r="E462" s="40" t="s">
        <v>7</v>
      </c>
      <c r="F462" s="72">
        <v>1</v>
      </c>
    </row>
    <row r="463" spans="1:6">
      <c r="A463" s="40" t="s">
        <v>750</v>
      </c>
      <c r="B463" s="39" t="s">
        <v>747</v>
      </c>
      <c r="C463" s="40" t="s">
        <v>995</v>
      </c>
      <c r="D463" s="40" t="s">
        <v>979</v>
      </c>
      <c r="E463" s="40" t="s">
        <v>7</v>
      </c>
      <c r="F463" s="72">
        <v>1</v>
      </c>
    </row>
    <row r="464" spans="1:6">
      <c r="A464" s="40" t="s">
        <v>750</v>
      </c>
      <c r="B464" s="39" t="s">
        <v>747</v>
      </c>
      <c r="C464" s="40" t="s">
        <v>996</v>
      </c>
      <c r="D464" s="40" t="s">
        <v>979</v>
      </c>
      <c r="E464" s="40" t="s">
        <v>7</v>
      </c>
      <c r="F464" s="72">
        <v>1</v>
      </c>
    </row>
    <row r="465" spans="1:6">
      <c r="A465" s="40" t="s">
        <v>750</v>
      </c>
      <c r="B465" s="39" t="s">
        <v>747</v>
      </c>
      <c r="C465" s="40" t="s">
        <v>997</v>
      </c>
      <c r="D465" s="40" t="s">
        <v>979</v>
      </c>
      <c r="E465" s="40" t="s">
        <v>7</v>
      </c>
      <c r="F465" s="72">
        <v>1</v>
      </c>
    </row>
    <row r="466" spans="1:6">
      <c r="A466" s="40" t="s">
        <v>750</v>
      </c>
      <c r="B466" s="39" t="s">
        <v>747</v>
      </c>
      <c r="C466" s="40" t="s">
        <v>998</v>
      </c>
      <c r="D466" s="40" t="s">
        <v>979</v>
      </c>
      <c r="E466" s="40" t="s">
        <v>7</v>
      </c>
      <c r="F466" s="72">
        <v>1</v>
      </c>
    </row>
    <row r="467" spans="1:6">
      <c r="A467" s="40" t="s">
        <v>750</v>
      </c>
      <c r="B467" s="39" t="s">
        <v>747</v>
      </c>
      <c r="C467" s="40" t="s">
        <v>999</v>
      </c>
      <c r="D467" s="40" t="s">
        <v>979</v>
      </c>
      <c r="E467" s="40" t="s">
        <v>7</v>
      </c>
      <c r="F467" s="72">
        <v>1</v>
      </c>
    </row>
    <row r="468" spans="1:6">
      <c r="A468" s="40" t="s">
        <v>750</v>
      </c>
      <c r="B468" s="39" t="s">
        <v>747</v>
      </c>
      <c r="C468" s="40" t="s">
        <v>1000</v>
      </c>
      <c r="D468" s="40" t="s">
        <v>979</v>
      </c>
      <c r="E468" s="40" t="s">
        <v>7</v>
      </c>
      <c r="F468" s="72">
        <v>1</v>
      </c>
    </row>
    <row r="469" spans="1:6">
      <c r="A469" s="40" t="s">
        <v>750</v>
      </c>
      <c r="B469" s="39" t="s">
        <v>747</v>
      </c>
      <c r="C469" s="40" t="s">
        <v>1001</v>
      </c>
      <c r="D469" s="40" t="s">
        <v>979</v>
      </c>
      <c r="E469" s="40" t="s">
        <v>7</v>
      </c>
      <c r="F469" s="72">
        <v>1</v>
      </c>
    </row>
    <row r="470" spans="1:6">
      <c r="A470" s="40" t="s">
        <v>750</v>
      </c>
      <c r="B470" s="39" t="s">
        <v>747</v>
      </c>
      <c r="C470" s="40" t="s">
        <v>1002</v>
      </c>
      <c r="D470" s="40" t="s">
        <v>979</v>
      </c>
      <c r="E470" s="40" t="s">
        <v>7</v>
      </c>
      <c r="F470" s="72">
        <v>1</v>
      </c>
    </row>
    <row r="471" spans="1:6">
      <c r="A471" s="40" t="s">
        <v>750</v>
      </c>
      <c r="B471" s="39" t="s">
        <v>747</v>
      </c>
      <c r="C471" s="40" t="s">
        <v>1003</v>
      </c>
      <c r="D471" s="40" t="s">
        <v>979</v>
      </c>
      <c r="E471" s="40" t="s">
        <v>7</v>
      </c>
      <c r="F471" s="72">
        <v>1</v>
      </c>
    </row>
    <row r="472" spans="1:6">
      <c r="A472" s="40" t="s">
        <v>750</v>
      </c>
      <c r="B472" s="39" t="s">
        <v>747</v>
      </c>
      <c r="C472" s="40" t="s">
        <v>1004</v>
      </c>
      <c r="D472" s="40" t="s">
        <v>979</v>
      </c>
      <c r="E472" s="40" t="s">
        <v>7</v>
      </c>
      <c r="F472" s="72">
        <v>1</v>
      </c>
    </row>
    <row r="473" spans="1:6">
      <c r="A473" s="40" t="s">
        <v>750</v>
      </c>
      <c r="B473" s="39" t="s">
        <v>747</v>
      </c>
      <c r="C473" s="40" t="s">
        <v>1005</v>
      </c>
      <c r="D473" s="40" t="s">
        <v>979</v>
      </c>
      <c r="E473" s="40" t="s">
        <v>7</v>
      </c>
      <c r="F473" s="72">
        <v>1</v>
      </c>
    </row>
    <row r="474" spans="1:6">
      <c r="A474" s="40" t="s">
        <v>750</v>
      </c>
      <c r="B474" s="39" t="s">
        <v>747</v>
      </c>
      <c r="C474" s="40" t="s">
        <v>1006</v>
      </c>
      <c r="D474" s="40" t="s">
        <v>979</v>
      </c>
      <c r="E474" s="40" t="s">
        <v>7</v>
      </c>
      <c r="F474" s="72">
        <v>1</v>
      </c>
    </row>
    <row r="475" spans="1:6">
      <c r="A475" s="40" t="s">
        <v>750</v>
      </c>
      <c r="B475" s="39" t="s">
        <v>747</v>
      </c>
      <c r="C475" s="40" t="s">
        <v>1007</v>
      </c>
      <c r="D475" s="40" t="s">
        <v>979</v>
      </c>
      <c r="E475" s="40" t="s">
        <v>7</v>
      </c>
      <c r="F475" s="72">
        <v>1</v>
      </c>
    </row>
    <row r="476" spans="1:6">
      <c r="A476" s="40" t="s">
        <v>750</v>
      </c>
      <c r="B476" s="39" t="s">
        <v>747</v>
      </c>
      <c r="C476" s="40" t="s">
        <v>1008</v>
      </c>
      <c r="D476" s="40" t="s">
        <v>979</v>
      </c>
      <c r="E476" s="40" t="s">
        <v>7</v>
      </c>
      <c r="F476" s="72">
        <v>1</v>
      </c>
    </row>
    <row r="477" spans="1:6">
      <c r="A477" s="40" t="s">
        <v>750</v>
      </c>
      <c r="B477" s="39" t="s">
        <v>747</v>
      </c>
      <c r="C477" s="40" t="s">
        <v>1009</v>
      </c>
      <c r="D477" s="40" t="s">
        <v>979</v>
      </c>
      <c r="E477" s="40" t="s">
        <v>7</v>
      </c>
      <c r="F477" s="72">
        <v>1</v>
      </c>
    </row>
    <row r="478" spans="1:6">
      <c r="A478" s="40" t="s">
        <v>750</v>
      </c>
      <c r="B478" s="39" t="s">
        <v>747</v>
      </c>
      <c r="C478" s="40" t="s">
        <v>1010</v>
      </c>
      <c r="D478" s="40" t="s">
        <v>979</v>
      </c>
      <c r="E478" s="40" t="s">
        <v>7</v>
      </c>
      <c r="F478" s="72">
        <v>1</v>
      </c>
    </row>
    <row r="479" spans="1:6">
      <c r="A479" s="40" t="s">
        <v>750</v>
      </c>
      <c r="B479" s="39" t="s">
        <v>747</v>
      </c>
      <c r="C479" s="40" t="s">
        <v>1011</v>
      </c>
      <c r="D479" s="40" t="s">
        <v>979</v>
      </c>
      <c r="E479" s="40" t="s">
        <v>7</v>
      </c>
      <c r="F479" s="72">
        <v>1</v>
      </c>
    </row>
    <row r="480" spans="1:6">
      <c r="A480" s="40" t="s">
        <v>750</v>
      </c>
      <c r="B480" s="39" t="s">
        <v>747</v>
      </c>
      <c r="C480" s="40" t="s">
        <v>1012</v>
      </c>
      <c r="D480" s="40" t="s">
        <v>979</v>
      </c>
      <c r="E480" s="40" t="s">
        <v>7</v>
      </c>
      <c r="F480" s="72">
        <v>1</v>
      </c>
    </row>
    <row r="481" spans="1:6">
      <c r="A481" s="40" t="s">
        <v>750</v>
      </c>
      <c r="B481" s="39" t="s">
        <v>747</v>
      </c>
      <c r="C481" s="40" t="s">
        <v>1013</v>
      </c>
      <c r="D481" s="40" t="s">
        <v>979</v>
      </c>
      <c r="E481" s="40" t="s">
        <v>7</v>
      </c>
      <c r="F481" s="72">
        <v>1</v>
      </c>
    </row>
    <row r="482" spans="1:6">
      <c r="A482" s="40" t="s">
        <v>750</v>
      </c>
      <c r="B482" s="39" t="s">
        <v>747</v>
      </c>
      <c r="C482" s="40" t="s">
        <v>1014</v>
      </c>
      <c r="D482" s="40" t="s">
        <v>979</v>
      </c>
      <c r="E482" s="40" t="s">
        <v>7</v>
      </c>
      <c r="F482" s="72">
        <v>1</v>
      </c>
    </row>
    <row r="483" spans="1:6">
      <c r="A483" s="40" t="s">
        <v>750</v>
      </c>
      <c r="B483" s="39" t="s">
        <v>747</v>
      </c>
      <c r="C483" s="40" t="s">
        <v>1015</v>
      </c>
      <c r="D483" s="40" t="s">
        <v>979</v>
      </c>
      <c r="E483" s="40" t="s">
        <v>7</v>
      </c>
      <c r="F483" s="72">
        <v>1</v>
      </c>
    </row>
    <row r="484" spans="1:6">
      <c r="A484" s="40" t="s">
        <v>750</v>
      </c>
      <c r="B484" s="39" t="s">
        <v>747</v>
      </c>
      <c r="C484" s="40" t="s">
        <v>1016</v>
      </c>
      <c r="D484" s="40" t="s">
        <v>979</v>
      </c>
      <c r="E484" s="40" t="s">
        <v>7</v>
      </c>
      <c r="F484" s="72">
        <v>1</v>
      </c>
    </row>
    <row r="485" spans="1:6">
      <c r="A485" s="40" t="s">
        <v>750</v>
      </c>
      <c r="B485" s="39" t="s">
        <v>747</v>
      </c>
      <c r="C485" s="40" t="s">
        <v>1017</v>
      </c>
      <c r="D485" s="40" t="s">
        <v>979</v>
      </c>
      <c r="E485" s="40" t="s">
        <v>7</v>
      </c>
      <c r="F485" s="72">
        <v>1</v>
      </c>
    </row>
    <row r="486" spans="1:6">
      <c r="A486" s="40" t="s">
        <v>750</v>
      </c>
      <c r="B486" s="39" t="s">
        <v>747</v>
      </c>
      <c r="C486" s="40" t="s">
        <v>1018</v>
      </c>
      <c r="D486" s="40" t="s">
        <v>979</v>
      </c>
      <c r="E486" s="40" t="s">
        <v>7</v>
      </c>
      <c r="F486" s="72">
        <v>1</v>
      </c>
    </row>
    <row r="487" spans="1:6">
      <c r="A487" s="40" t="s">
        <v>750</v>
      </c>
      <c r="B487" s="39" t="s">
        <v>747</v>
      </c>
      <c r="C487" s="40" t="s">
        <v>1019</v>
      </c>
      <c r="D487" s="40" t="s">
        <v>1020</v>
      </c>
      <c r="E487" s="40" t="s">
        <v>7</v>
      </c>
      <c r="F487" s="72">
        <v>1</v>
      </c>
    </row>
    <row r="488" spans="1:6">
      <c r="A488" s="40" t="s">
        <v>750</v>
      </c>
      <c r="B488" s="39" t="s">
        <v>747</v>
      </c>
      <c r="C488" s="40" t="s">
        <v>1021</v>
      </c>
      <c r="D488" s="40" t="s">
        <v>1020</v>
      </c>
      <c r="E488" s="40" t="s">
        <v>7</v>
      </c>
      <c r="F488" s="72">
        <v>1</v>
      </c>
    </row>
    <row r="489" spans="1:6">
      <c r="A489" s="40" t="s">
        <v>750</v>
      </c>
      <c r="B489" s="39" t="s">
        <v>747</v>
      </c>
      <c r="C489" s="40" t="s">
        <v>1022</v>
      </c>
      <c r="D489" s="40" t="s">
        <v>1020</v>
      </c>
      <c r="E489" s="40" t="s">
        <v>7</v>
      </c>
      <c r="F489" s="72">
        <v>1</v>
      </c>
    </row>
    <row r="490" spans="1:6">
      <c r="A490" s="40" t="s">
        <v>750</v>
      </c>
      <c r="B490" s="39" t="s">
        <v>747</v>
      </c>
      <c r="C490" s="40" t="s">
        <v>1023</v>
      </c>
      <c r="D490" s="40" t="s">
        <v>1020</v>
      </c>
      <c r="E490" s="40" t="s">
        <v>7</v>
      </c>
      <c r="F490" s="72">
        <v>1</v>
      </c>
    </row>
    <row r="491" spans="1:6">
      <c r="A491" s="40" t="s">
        <v>750</v>
      </c>
      <c r="B491" s="39" t="s">
        <v>747</v>
      </c>
      <c r="C491" s="40" t="s">
        <v>1024</v>
      </c>
      <c r="D491" s="40" t="s">
        <v>1025</v>
      </c>
      <c r="E491" s="40" t="s">
        <v>7</v>
      </c>
      <c r="F491" s="72">
        <v>1</v>
      </c>
    </row>
    <row r="492" spans="1:6">
      <c r="A492" s="40" t="s">
        <v>750</v>
      </c>
      <c r="B492" s="39" t="s">
        <v>747</v>
      </c>
      <c r="C492" s="40" t="s">
        <v>1026</v>
      </c>
      <c r="D492" s="40" t="s">
        <v>1025</v>
      </c>
      <c r="E492" s="40" t="s">
        <v>7</v>
      </c>
      <c r="F492" s="72">
        <v>1</v>
      </c>
    </row>
    <row r="493" spans="1:6">
      <c r="A493" s="40" t="s">
        <v>750</v>
      </c>
      <c r="B493" s="39" t="s">
        <v>747</v>
      </c>
      <c r="C493" s="40" t="s">
        <v>1027</v>
      </c>
      <c r="D493" s="40" t="s">
        <v>1025</v>
      </c>
      <c r="E493" s="40" t="s">
        <v>7</v>
      </c>
      <c r="F493" s="72">
        <v>1</v>
      </c>
    </row>
    <row r="494" spans="1:6">
      <c r="A494" s="40" t="s">
        <v>750</v>
      </c>
      <c r="B494" s="39" t="s">
        <v>747</v>
      </c>
      <c r="C494" s="40" t="s">
        <v>1028</v>
      </c>
      <c r="D494" s="40" t="s">
        <v>1025</v>
      </c>
      <c r="E494" s="40" t="s">
        <v>7</v>
      </c>
      <c r="F494" s="72">
        <v>1</v>
      </c>
    </row>
    <row r="495" spans="1:6">
      <c r="A495" s="40" t="s">
        <v>750</v>
      </c>
      <c r="B495" s="39" t="s">
        <v>747</v>
      </c>
      <c r="C495" s="40" t="s">
        <v>1029</v>
      </c>
      <c r="D495" s="40" t="s">
        <v>1025</v>
      </c>
      <c r="E495" s="40" t="s">
        <v>7</v>
      </c>
      <c r="F495" s="72">
        <v>1</v>
      </c>
    </row>
    <row r="496" spans="1:6">
      <c r="A496" s="40" t="s">
        <v>750</v>
      </c>
      <c r="B496" s="39" t="s">
        <v>747</v>
      </c>
      <c r="C496" s="40" t="s">
        <v>1030</v>
      </c>
      <c r="D496" s="40" t="s">
        <v>1025</v>
      </c>
      <c r="E496" s="40" t="s">
        <v>7</v>
      </c>
      <c r="F496" s="72">
        <v>1</v>
      </c>
    </row>
    <row r="497" spans="1:6">
      <c r="A497" s="40" t="s">
        <v>750</v>
      </c>
      <c r="B497" s="39" t="s">
        <v>747</v>
      </c>
      <c r="C497" s="40" t="s">
        <v>1031</v>
      </c>
      <c r="D497" s="40" t="s">
        <v>1025</v>
      </c>
      <c r="E497" s="40" t="s">
        <v>7</v>
      </c>
      <c r="F497" s="72">
        <v>1</v>
      </c>
    </row>
    <row r="498" spans="1:6">
      <c r="A498" s="40" t="s">
        <v>750</v>
      </c>
      <c r="B498" s="39" t="s">
        <v>747</v>
      </c>
      <c r="C498" s="40" t="s">
        <v>1032</v>
      </c>
      <c r="D498" s="40" t="s">
        <v>1025</v>
      </c>
      <c r="E498" s="40" t="s">
        <v>7</v>
      </c>
      <c r="F498" s="72">
        <v>1</v>
      </c>
    </row>
    <row r="499" spans="1:6">
      <c r="A499" s="40" t="s">
        <v>750</v>
      </c>
      <c r="B499" s="39" t="s">
        <v>747</v>
      </c>
      <c r="C499" s="40" t="s">
        <v>1033</v>
      </c>
      <c r="D499" s="40" t="s">
        <v>1025</v>
      </c>
      <c r="E499" s="40" t="s">
        <v>7</v>
      </c>
      <c r="F499" s="72">
        <v>1</v>
      </c>
    </row>
    <row r="500" spans="1:6">
      <c r="A500" s="40" t="s">
        <v>750</v>
      </c>
      <c r="B500" s="39" t="s">
        <v>747</v>
      </c>
      <c r="C500" s="40" t="s">
        <v>1034</v>
      </c>
      <c r="D500" s="40" t="s">
        <v>1025</v>
      </c>
      <c r="E500" s="40" t="s">
        <v>7</v>
      </c>
      <c r="F500" s="72">
        <v>1</v>
      </c>
    </row>
    <row r="501" spans="1:6">
      <c r="A501" s="40" t="s">
        <v>750</v>
      </c>
      <c r="B501" s="39" t="s">
        <v>747</v>
      </c>
      <c r="C501" s="40" t="s">
        <v>1035</v>
      </c>
      <c r="D501" s="40" t="s">
        <v>1025</v>
      </c>
      <c r="E501" s="40" t="s">
        <v>7</v>
      </c>
      <c r="F501" s="72">
        <v>1</v>
      </c>
    </row>
    <row r="502" spans="1:6">
      <c r="A502" s="40" t="s">
        <v>750</v>
      </c>
      <c r="B502" s="39" t="s">
        <v>747</v>
      </c>
      <c r="C502" s="40" t="s">
        <v>1036</v>
      </c>
      <c r="D502" s="40" t="s">
        <v>1025</v>
      </c>
      <c r="E502" s="40" t="s">
        <v>7</v>
      </c>
      <c r="F502" s="72">
        <v>1</v>
      </c>
    </row>
    <row r="503" spans="1:6">
      <c r="A503" s="40" t="s">
        <v>750</v>
      </c>
      <c r="B503" s="39" t="s">
        <v>747</v>
      </c>
      <c r="C503" s="40" t="s">
        <v>1037</v>
      </c>
      <c r="D503" s="40" t="s">
        <v>1025</v>
      </c>
      <c r="E503" s="40" t="s">
        <v>7</v>
      </c>
      <c r="F503" s="72">
        <v>1</v>
      </c>
    </row>
    <row r="504" spans="1:6">
      <c r="A504" s="40" t="s">
        <v>750</v>
      </c>
      <c r="B504" s="39" t="s">
        <v>747</v>
      </c>
      <c r="C504" s="40" t="s">
        <v>1038</v>
      </c>
      <c r="D504" s="40" t="s">
        <v>1025</v>
      </c>
      <c r="E504" s="40" t="s">
        <v>7</v>
      </c>
      <c r="F504" s="72">
        <v>1</v>
      </c>
    </row>
    <row r="505" spans="1:6">
      <c r="A505" s="40" t="s">
        <v>750</v>
      </c>
      <c r="B505" s="39" t="s">
        <v>747</v>
      </c>
      <c r="C505" s="40" t="s">
        <v>1039</v>
      </c>
      <c r="D505" s="40" t="s">
        <v>1025</v>
      </c>
      <c r="E505" s="40" t="s">
        <v>7</v>
      </c>
      <c r="F505" s="72">
        <v>1</v>
      </c>
    </row>
    <row r="506" spans="1:6">
      <c r="A506" s="40" t="s">
        <v>750</v>
      </c>
      <c r="B506" s="39" t="s">
        <v>747</v>
      </c>
      <c r="C506" s="40" t="s">
        <v>1040</v>
      </c>
      <c r="D506" s="40" t="s">
        <v>1025</v>
      </c>
      <c r="E506" s="40" t="s">
        <v>7</v>
      </c>
      <c r="F506" s="72">
        <v>1</v>
      </c>
    </row>
    <row r="507" spans="1:6">
      <c r="A507" s="40" t="s">
        <v>750</v>
      </c>
      <c r="B507" s="39" t="s">
        <v>747</v>
      </c>
      <c r="C507" s="40" t="s">
        <v>1041</v>
      </c>
      <c r="D507" s="40" t="s">
        <v>1025</v>
      </c>
      <c r="E507" s="40" t="s">
        <v>7</v>
      </c>
      <c r="F507" s="72">
        <v>1</v>
      </c>
    </row>
    <row r="508" spans="1:6">
      <c r="A508" s="40" t="s">
        <v>750</v>
      </c>
      <c r="B508" s="39" t="s">
        <v>747</v>
      </c>
      <c r="C508" s="40" t="s">
        <v>1042</v>
      </c>
      <c r="D508" s="40" t="s">
        <v>1025</v>
      </c>
      <c r="E508" s="40" t="s">
        <v>7</v>
      </c>
      <c r="F508" s="72">
        <v>1</v>
      </c>
    </row>
    <row r="509" spans="1:6">
      <c r="A509" s="40" t="s">
        <v>750</v>
      </c>
      <c r="B509" s="39" t="s">
        <v>747</v>
      </c>
      <c r="C509" s="40" t="s">
        <v>1043</v>
      </c>
      <c r="D509" s="40" t="s">
        <v>1025</v>
      </c>
      <c r="E509" s="40" t="s">
        <v>7</v>
      </c>
      <c r="F509" s="72">
        <v>1</v>
      </c>
    </row>
    <row r="510" spans="1:6">
      <c r="A510" s="40" t="s">
        <v>750</v>
      </c>
      <c r="B510" s="39" t="s">
        <v>747</v>
      </c>
      <c r="C510" s="40" t="s">
        <v>1044</v>
      </c>
      <c r="D510" s="40" t="s">
        <v>1025</v>
      </c>
      <c r="E510" s="40" t="s">
        <v>7</v>
      </c>
      <c r="F510" s="72">
        <v>1</v>
      </c>
    </row>
    <row r="511" spans="1:6">
      <c r="A511" s="40" t="s">
        <v>750</v>
      </c>
      <c r="B511" s="39" t="s">
        <v>747</v>
      </c>
      <c r="C511" s="40" t="s">
        <v>1045</v>
      </c>
      <c r="D511" s="40" t="s">
        <v>1025</v>
      </c>
      <c r="E511" s="40" t="s">
        <v>7</v>
      </c>
      <c r="F511" s="72">
        <v>1</v>
      </c>
    </row>
    <row r="512" spans="1:6">
      <c r="A512" s="40" t="s">
        <v>750</v>
      </c>
      <c r="B512" s="39" t="s">
        <v>747</v>
      </c>
      <c r="C512" s="40" t="s">
        <v>1046</v>
      </c>
      <c r="D512" s="40" t="s">
        <v>702</v>
      </c>
      <c r="E512" s="40" t="s">
        <v>7</v>
      </c>
      <c r="F512" s="72">
        <v>1</v>
      </c>
    </row>
    <row r="513" spans="1:6">
      <c r="A513" s="40" t="s">
        <v>750</v>
      </c>
      <c r="B513" s="39" t="s">
        <v>747</v>
      </c>
      <c r="C513" s="40" t="s">
        <v>1047</v>
      </c>
      <c r="D513" s="40" t="s">
        <v>702</v>
      </c>
      <c r="E513" s="40" t="s">
        <v>7</v>
      </c>
      <c r="F513" s="72">
        <v>1</v>
      </c>
    </row>
    <row r="514" spans="1:6">
      <c r="A514" s="40" t="s">
        <v>750</v>
      </c>
      <c r="B514" s="39" t="s">
        <v>747</v>
      </c>
      <c r="C514" s="40" t="s">
        <v>1048</v>
      </c>
      <c r="D514" s="40" t="s">
        <v>702</v>
      </c>
      <c r="E514" s="40" t="s">
        <v>7</v>
      </c>
      <c r="F514" s="72">
        <v>1</v>
      </c>
    </row>
    <row r="515" spans="1:6">
      <c r="A515" s="40" t="s">
        <v>750</v>
      </c>
      <c r="B515" s="39" t="s">
        <v>747</v>
      </c>
      <c r="C515" s="40" t="s">
        <v>1049</v>
      </c>
      <c r="D515" s="40" t="s">
        <v>702</v>
      </c>
      <c r="E515" s="40" t="s">
        <v>7</v>
      </c>
      <c r="F515" s="72">
        <v>1</v>
      </c>
    </row>
    <row r="516" spans="1:6">
      <c r="A516" s="40" t="s">
        <v>750</v>
      </c>
      <c r="B516" s="39" t="s">
        <v>747</v>
      </c>
      <c r="C516" s="40" t="s">
        <v>1050</v>
      </c>
      <c r="D516" s="40" t="s">
        <v>702</v>
      </c>
      <c r="E516" s="40" t="s">
        <v>7</v>
      </c>
      <c r="F516" s="72">
        <v>1</v>
      </c>
    </row>
    <row r="517" spans="1:6">
      <c r="A517" s="40" t="s">
        <v>750</v>
      </c>
      <c r="B517" s="39" t="s">
        <v>747</v>
      </c>
      <c r="C517" s="40" t="s">
        <v>1051</v>
      </c>
      <c r="D517" s="40" t="s">
        <v>702</v>
      </c>
      <c r="E517" s="40" t="s">
        <v>7</v>
      </c>
      <c r="F517" s="72">
        <v>1</v>
      </c>
    </row>
    <row r="518" spans="1:6">
      <c r="A518" s="40" t="s">
        <v>750</v>
      </c>
      <c r="B518" s="39" t="s">
        <v>747</v>
      </c>
      <c r="C518" s="40" t="s">
        <v>1052</v>
      </c>
      <c r="D518" s="40" t="s">
        <v>702</v>
      </c>
      <c r="E518" s="40" t="s">
        <v>7</v>
      </c>
      <c r="F518" s="72">
        <v>1</v>
      </c>
    </row>
    <row r="519" spans="1:6">
      <c r="A519" s="40" t="s">
        <v>750</v>
      </c>
      <c r="B519" s="39" t="s">
        <v>747</v>
      </c>
      <c r="C519" s="40" t="s">
        <v>1053</v>
      </c>
      <c r="D519" s="40" t="s">
        <v>702</v>
      </c>
      <c r="E519" s="40" t="s">
        <v>7</v>
      </c>
      <c r="F519" s="72">
        <v>1</v>
      </c>
    </row>
    <row r="520" spans="1:6">
      <c r="A520" s="40" t="s">
        <v>750</v>
      </c>
      <c r="B520" s="39" t="s">
        <v>747</v>
      </c>
      <c r="C520" s="40" t="s">
        <v>1054</v>
      </c>
      <c r="D520" s="40" t="s">
        <v>702</v>
      </c>
      <c r="E520" s="40" t="s">
        <v>7</v>
      </c>
      <c r="F520" s="72">
        <v>1</v>
      </c>
    </row>
    <row r="521" spans="1:6">
      <c r="A521" s="40" t="s">
        <v>750</v>
      </c>
      <c r="B521" s="39" t="s">
        <v>747</v>
      </c>
      <c r="C521" s="40" t="s">
        <v>1055</v>
      </c>
      <c r="D521" s="40" t="s">
        <v>702</v>
      </c>
      <c r="E521" s="40" t="s">
        <v>7</v>
      </c>
      <c r="F521" s="72">
        <v>1</v>
      </c>
    </row>
    <row r="522" spans="1:6">
      <c r="A522" s="40" t="s">
        <v>750</v>
      </c>
      <c r="B522" s="39" t="s">
        <v>747</v>
      </c>
      <c r="C522" s="40" t="s">
        <v>1056</v>
      </c>
      <c r="D522" s="40" t="s">
        <v>702</v>
      </c>
      <c r="E522" s="40" t="s">
        <v>7</v>
      </c>
      <c r="F522" s="72">
        <v>1</v>
      </c>
    </row>
    <row r="523" spans="1:6">
      <c r="A523" s="40" t="s">
        <v>750</v>
      </c>
      <c r="B523" s="39" t="s">
        <v>747</v>
      </c>
      <c r="C523" s="40" t="s">
        <v>1057</v>
      </c>
      <c r="D523" s="40" t="s">
        <v>702</v>
      </c>
      <c r="E523" s="40" t="s">
        <v>7</v>
      </c>
      <c r="F523" s="72">
        <v>1</v>
      </c>
    </row>
    <row r="524" spans="1:6">
      <c r="A524" s="40" t="s">
        <v>750</v>
      </c>
      <c r="B524" s="39" t="s">
        <v>747</v>
      </c>
      <c r="C524" s="40" t="s">
        <v>1058</v>
      </c>
      <c r="D524" s="40" t="s">
        <v>702</v>
      </c>
      <c r="E524" s="40" t="s">
        <v>7</v>
      </c>
      <c r="F524" s="72">
        <v>1</v>
      </c>
    </row>
    <row r="525" spans="1:6">
      <c r="A525" s="40" t="s">
        <v>750</v>
      </c>
      <c r="B525" s="39" t="s">
        <v>747</v>
      </c>
      <c r="C525" s="40" t="s">
        <v>1059</v>
      </c>
      <c r="D525" s="40" t="s">
        <v>702</v>
      </c>
      <c r="E525" s="40" t="s">
        <v>7</v>
      </c>
      <c r="F525" s="72">
        <v>1</v>
      </c>
    </row>
    <row r="526" spans="1:6">
      <c r="A526" s="40" t="s">
        <v>750</v>
      </c>
      <c r="B526" s="39" t="s">
        <v>747</v>
      </c>
      <c r="C526" s="40" t="s">
        <v>1060</v>
      </c>
      <c r="D526" s="40" t="s">
        <v>702</v>
      </c>
      <c r="E526" s="40" t="s">
        <v>7</v>
      </c>
      <c r="F526" s="72">
        <v>1</v>
      </c>
    </row>
    <row r="527" spans="1:6">
      <c r="A527" s="40" t="s">
        <v>750</v>
      </c>
      <c r="B527" s="39" t="s">
        <v>747</v>
      </c>
      <c r="C527" s="40" t="s">
        <v>1061</v>
      </c>
      <c r="D527" s="40" t="s">
        <v>702</v>
      </c>
      <c r="E527" s="40" t="s">
        <v>7</v>
      </c>
      <c r="F527" s="72">
        <v>1</v>
      </c>
    </row>
    <row r="528" spans="1:6">
      <c r="A528" s="40" t="s">
        <v>750</v>
      </c>
      <c r="B528" s="39" t="s">
        <v>747</v>
      </c>
      <c r="C528" s="40" t="s">
        <v>1062</v>
      </c>
      <c r="D528" s="40" t="s">
        <v>702</v>
      </c>
      <c r="E528" s="40" t="s">
        <v>7</v>
      </c>
      <c r="F528" s="72">
        <v>1</v>
      </c>
    </row>
    <row r="529" spans="1:6">
      <c r="A529" s="40" t="s">
        <v>750</v>
      </c>
      <c r="B529" s="39" t="s">
        <v>747</v>
      </c>
      <c r="C529" s="40" t="s">
        <v>1063</v>
      </c>
      <c r="D529" s="40" t="s">
        <v>702</v>
      </c>
      <c r="E529" s="40" t="s">
        <v>7</v>
      </c>
      <c r="F529" s="72">
        <v>1</v>
      </c>
    </row>
    <row r="530" spans="1:6">
      <c r="A530" s="40" t="s">
        <v>750</v>
      </c>
      <c r="B530" s="39" t="s">
        <v>747</v>
      </c>
      <c r="C530" s="40" t="s">
        <v>1064</v>
      </c>
      <c r="D530" s="40" t="s">
        <v>702</v>
      </c>
      <c r="E530" s="40" t="s">
        <v>7</v>
      </c>
      <c r="F530" s="72">
        <v>1</v>
      </c>
    </row>
    <row r="531" spans="1:6">
      <c r="A531" s="40" t="s">
        <v>750</v>
      </c>
      <c r="B531" s="39" t="s">
        <v>747</v>
      </c>
      <c r="C531" s="40" t="s">
        <v>1065</v>
      </c>
      <c r="D531" s="40" t="s">
        <v>702</v>
      </c>
      <c r="E531" s="40" t="s">
        <v>7</v>
      </c>
      <c r="F531" s="72">
        <v>1</v>
      </c>
    </row>
    <row r="532" spans="1:6">
      <c r="A532" s="40" t="s">
        <v>750</v>
      </c>
      <c r="B532" s="39" t="s">
        <v>747</v>
      </c>
      <c r="C532" s="40" t="s">
        <v>1066</v>
      </c>
      <c r="D532" s="40" t="s">
        <v>702</v>
      </c>
      <c r="E532" s="40" t="s">
        <v>7</v>
      </c>
      <c r="F532" s="72">
        <v>1</v>
      </c>
    </row>
    <row r="533" spans="1:6">
      <c r="A533" s="40" t="s">
        <v>750</v>
      </c>
      <c r="B533" s="39" t="s">
        <v>747</v>
      </c>
      <c r="C533" s="40" t="s">
        <v>1067</v>
      </c>
      <c r="D533" s="40" t="s">
        <v>702</v>
      </c>
      <c r="E533" s="40" t="s">
        <v>7</v>
      </c>
      <c r="F533" s="72">
        <v>1</v>
      </c>
    </row>
    <row r="534" spans="1:6">
      <c r="A534" s="40" t="s">
        <v>750</v>
      </c>
      <c r="B534" s="39" t="s">
        <v>747</v>
      </c>
      <c r="C534" s="40" t="s">
        <v>1068</v>
      </c>
      <c r="D534" s="40" t="s">
        <v>702</v>
      </c>
      <c r="E534" s="40" t="s">
        <v>7</v>
      </c>
      <c r="F534" s="72">
        <v>1</v>
      </c>
    </row>
    <row r="535" spans="1:6">
      <c r="A535" s="40" t="s">
        <v>750</v>
      </c>
      <c r="B535" s="39" t="s">
        <v>747</v>
      </c>
      <c r="C535" s="40" t="s">
        <v>1069</v>
      </c>
      <c r="D535" s="40" t="s">
        <v>702</v>
      </c>
      <c r="E535" s="40" t="s">
        <v>7</v>
      </c>
      <c r="F535" s="72">
        <v>1</v>
      </c>
    </row>
    <row r="536" spans="1:6">
      <c r="A536" s="40" t="s">
        <v>750</v>
      </c>
      <c r="B536" s="39" t="s">
        <v>747</v>
      </c>
      <c r="C536" s="40" t="s">
        <v>1070</v>
      </c>
      <c r="D536" s="40" t="s">
        <v>702</v>
      </c>
      <c r="E536" s="40" t="s">
        <v>7</v>
      </c>
      <c r="F536" s="72">
        <v>1</v>
      </c>
    </row>
    <row r="537" spans="1:6">
      <c r="A537" s="40" t="s">
        <v>750</v>
      </c>
      <c r="B537" s="39" t="s">
        <v>747</v>
      </c>
      <c r="C537" s="40" t="s">
        <v>1071</v>
      </c>
      <c r="D537" s="40" t="s">
        <v>702</v>
      </c>
      <c r="E537" s="40" t="s">
        <v>7</v>
      </c>
      <c r="F537" s="72">
        <v>1</v>
      </c>
    </row>
    <row r="538" spans="1:6">
      <c r="A538" s="40" t="s">
        <v>750</v>
      </c>
      <c r="B538" s="39" t="s">
        <v>747</v>
      </c>
      <c r="C538" s="40" t="s">
        <v>1072</v>
      </c>
      <c r="D538" s="40" t="s">
        <v>702</v>
      </c>
      <c r="E538" s="40" t="s">
        <v>7</v>
      </c>
      <c r="F538" s="72">
        <v>1</v>
      </c>
    </row>
    <row r="539" spans="1:6">
      <c r="A539" s="40" t="s">
        <v>750</v>
      </c>
      <c r="B539" s="39" t="s">
        <v>747</v>
      </c>
      <c r="C539" s="40" t="s">
        <v>1073</v>
      </c>
      <c r="D539" s="40" t="s">
        <v>702</v>
      </c>
      <c r="E539" s="40" t="s">
        <v>7</v>
      </c>
      <c r="F539" s="72">
        <v>1</v>
      </c>
    </row>
    <row r="540" spans="1:6">
      <c r="A540" s="40" t="s">
        <v>750</v>
      </c>
      <c r="B540" s="39" t="s">
        <v>747</v>
      </c>
      <c r="C540" s="40" t="s">
        <v>1074</v>
      </c>
      <c r="D540" s="40" t="s">
        <v>702</v>
      </c>
      <c r="E540" s="40" t="s">
        <v>7</v>
      </c>
      <c r="F540" s="72">
        <v>1</v>
      </c>
    </row>
    <row r="541" spans="1:6">
      <c r="A541" s="40" t="s">
        <v>750</v>
      </c>
      <c r="B541" s="39" t="s">
        <v>747</v>
      </c>
      <c r="C541" s="40" t="s">
        <v>1075</v>
      </c>
      <c r="D541" s="40" t="s">
        <v>702</v>
      </c>
      <c r="E541" s="40" t="s">
        <v>7</v>
      </c>
      <c r="F541" s="72">
        <v>1</v>
      </c>
    </row>
    <row r="542" spans="1:6">
      <c r="A542" s="40" t="s">
        <v>750</v>
      </c>
      <c r="B542" s="39" t="s">
        <v>747</v>
      </c>
      <c r="C542" s="40" t="s">
        <v>1076</v>
      </c>
      <c r="D542" s="40" t="s">
        <v>702</v>
      </c>
      <c r="E542" s="40" t="s">
        <v>7</v>
      </c>
      <c r="F542" s="72">
        <v>1</v>
      </c>
    </row>
    <row r="543" spans="1:6">
      <c r="A543" s="40" t="s">
        <v>750</v>
      </c>
      <c r="B543" s="39" t="s">
        <v>747</v>
      </c>
      <c r="C543" s="40" t="s">
        <v>1077</v>
      </c>
      <c r="D543" s="40" t="s">
        <v>702</v>
      </c>
      <c r="E543" s="40" t="s">
        <v>7</v>
      </c>
      <c r="F543" s="72">
        <v>1</v>
      </c>
    </row>
    <row r="544" spans="1:6">
      <c r="A544" s="40" t="s">
        <v>750</v>
      </c>
      <c r="B544" s="39" t="s">
        <v>747</v>
      </c>
      <c r="C544" s="40" t="s">
        <v>1078</v>
      </c>
      <c r="D544" s="40" t="s">
        <v>702</v>
      </c>
      <c r="E544" s="40" t="s">
        <v>7</v>
      </c>
      <c r="F544" s="72">
        <v>1</v>
      </c>
    </row>
    <row r="545" spans="1:6">
      <c r="A545" s="40" t="s">
        <v>750</v>
      </c>
      <c r="B545" s="39" t="s">
        <v>747</v>
      </c>
      <c r="C545" s="40" t="s">
        <v>1079</v>
      </c>
      <c r="D545" s="40" t="s">
        <v>702</v>
      </c>
      <c r="E545" s="40" t="s">
        <v>7</v>
      </c>
      <c r="F545" s="72">
        <v>1</v>
      </c>
    </row>
    <row r="546" spans="1:6">
      <c r="A546" s="40" t="s">
        <v>750</v>
      </c>
      <c r="B546" s="39" t="s">
        <v>747</v>
      </c>
      <c r="C546" s="40" t="s">
        <v>1080</v>
      </c>
      <c r="D546" s="40" t="s">
        <v>702</v>
      </c>
      <c r="E546" s="40" t="s">
        <v>7</v>
      </c>
      <c r="F546" s="72">
        <v>1</v>
      </c>
    </row>
    <row r="547" spans="1:6">
      <c r="A547" s="40" t="s">
        <v>750</v>
      </c>
      <c r="B547" s="39" t="s">
        <v>747</v>
      </c>
      <c r="C547" s="40" t="s">
        <v>1081</v>
      </c>
      <c r="D547" s="40" t="s">
        <v>702</v>
      </c>
      <c r="E547" s="40" t="s">
        <v>7</v>
      </c>
      <c r="F547" s="72">
        <v>1</v>
      </c>
    </row>
    <row r="548" spans="1:6">
      <c r="A548" s="40" t="s">
        <v>750</v>
      </c>
      <c r="B548" s="39" t="s">
        <v>747</v>
      </c>
      <c r="C548" s="40" t="s">
        <v>1082</v>
      </c>
      <c r="D548" s="40" t="s">
        <v>702</v>
      </c>
      <c r="E548" s="40" t="s">
        <v>7</v>
      </c>
      <c r="F548" s="72">
        <v>1</v>
      </c>
    </row>
    <row r="549" spans="1:6">
      <c r="A549" s="40" t="s">
        <v>750</v>
      </c>
      <c r="B549" s="39" t="s">
        <v>747</v>
      </c>
      <c r="C549" s="40" t="s">
        <v>1083</v>
      </c>
      <c r="D549" s="40" t="s">
        <v>702</v>
      </c>
      <c r="E549" s="40" t="s">
        <v>7</v>
      </c>
      <c r="F549" s="72">
        <v>1</v>
      </c>
    </row>
    <row r="550" spans="1:6">
      <c r="A550" s="40" t="s">
        <v>750</v>
      </c>
      <c r="B550" s="39" t="s">
        <v>747</v>
      </c>
      <c r="C550" s="40" t="s">
        <v>1084</v>
      </c>
      <c r="D550" s="40" t="s">
        <v>702</v>
      </c>
      <c r="E550" s="40" t="s">
        <v>7</v>
      </c>
      <c r="F550" s="72">
        <v>1</v>
      </c>
    </row>
    <row r="551" spans="1:6">
      <c r="A551" s="40" t="s">
        <v>750</v>
      </c>
      <c r="B551" s="39" t="s">
        <v>747</v>
      </c>
      <c r="C551" s="40" t="s">
        <v>1085</v>
      </c>
      <c r="D551" s="40" t="s">
        <v>702</v>
      </c>
      <c r="E551" s="40" t="s">
        <v>7</v>
      </c>
      <c r="F551" s="72">
        <v>1</v>
      </c>
    </row>
    <row r="552" spans="1:6">
      <c r="A552" s="40" t="s">
        <v>750</v>
      </c>
      <c r="B552" s="39" t="s">
        <v>747</v>
      </c>
      <c r="C552" s="40" t="s">
        <v>1086</v>
      </c>
      <c r="D552" s="40" t="s">
        <v>702</v>
      </c>
      <c r="E552" s="40" t="s">
        <v>7</v>
      </c>
      <c r="F552" s="72">
        <v>1</v>
      </c>
    </row>
    <row r="553" spans="1:6">
      <c r="A553" s="40" t="s">
        <v>750</v>
      </c>
      <c r="B553" s="39" t="s">
        <v>747</v>
      </c>
      <c r="C553" s="40" t="s">
        <v>1087</v>
      </c>
      <c r="D553" s="40" t="s">
        <v>702</v>
      </c>
      <c r="E553" s="40" t="s">
        <v>7</v>
      </c>
      <c r="F553" s="72">
        <v>1</v>
      </c>
    </row>
    <row r="554" spans="1:6">
      <c r="A554" s="40" t="s">
        <v>750</v>
      </c>
      <c r="B554" s="39" t="s">
        <v>747</v>
      </c>
      <c r="C554" s="40" t="s">
        <v>1088</v>
      </c>
      <c r="D554" s="40" t="s">
        <v>1089</v>
      </c>
      <c r="E554" s="40" t="s">
        <v>7</v>
      </c>
      <c r="F554" s="72">
        <v>1</v>
      </c>
    </row>
    <row r="555" spans="1:6">
      <c r="A555" s="40" t="s">
        <v>750</v>
      </c>
      <c r="B555" s="39" t="s">
        <v>747</v>
      </c>
      <c r="C555" s="40" t="s">
        <v>1090</v>
      </c>
      <c r="D555" s="40" t="s">
        <v>1089</v>
      </c>
      <c r="E555" s="40" t="s">
        <v>7</v>
      </c>
      <c r="F555" s="72">
        <v>1</v>
      </c>
    </row>
    <row r="556" spans="1:6">
      <c r="A556" s="40" t="s">
        <v>750</v>
      </c>
      <c r="B556" s="39" t="s">
        <v>747</v>
      </c>
      <c r="C556" s="40" t="s">
        <v>1091</v>
      </c>
      <c r="D556" s="40" t="s">
        <v>1089</v>
      </c>
      <c r="E556" s="40" t="s">
        <v>7</v>
      </c>
      <c r="F556" s="72">
        <v>1</v>
      </c>
    </row>
    <row r="557" spans="1:6">
      <c r="A557" s="40" t="s">
        <v>750</v>
      </c>
      <c r="B557" s="39" t="s">
        <v>747</v>
      </c>
      <c r="C557" s="40" t="s">
        <v>1092</v>
      </c>
      <c r="D557" s="40" t="s">
        <v>1089</v>
      </c>
      <c r="E557" s="40" t="s">
        <v>7</v>
      </c>
      <c r="F557" s="72">
        <v>1</v>
      </c>
    </row>
    <row r="558" spans="1:6">
      <c r="A558" s="40" t="s">
        <v>750</v>
      </c>
      <c r="B558" s="39" t="s">
        <v>747</v>
      </c>
      <c r="C558" s="40" t="s">
        <v>1093</v>
      </c>
      <c r="D558" s="40" t="s">
        <v>1089</v>
      </c>
      <c r="E558" s="40" t="s">
        <v>7</v>
      </c>
      <c r="F558" s="72">
        <v>1</v>
      </c>
    </row>
    <row r="559" spans="1:6">
      <c r="A559" s="40" t="s">
        <v>750</v>
      </c>
      <c r="B559" s="39" t="s">
        <v>747</v>
      </c>
      <c r="C559" s="40" t="s">
        <v>1094</v>
      </c>
      <c r="D559" s="40" t="s">
        <v>1089</v>
      </c>
      <c r="E559" s="40" t="s">
        <v>7</v>
      </c>
      <c r="F559" s="72">
        <v>1</v>
      </c>
    </row>
    <row r="560" spans="1:6">
      <c r="A560" s="40" t="s">
        <v>750</v>
      </c>
      <c r="B560" s="39" t="s">
        <v>747</v>
      </c>
      <c r="C560" s="40" t="s">
        <v>1095</v>
      </c>
      <c r="D560" s="40" t="s">
        <v>1089</v>
      </c>
      <c r="E560" s="40" t="s">
        <v>7</v>
      </c>
      <c r="F560" s="72">
        <v>1</v>
      </c>
    </row>
    <row r="561" spans="1:6">
      <c r="A561" s="40" t="s">
        <v>750</v>
      </c>
      <c r="B561" s="39" t="s">
        <v>747</v>
      </c>
      <c r="C561" s="40" t="s">
        <v>1096</v>
      </c>
      <c r="D561" s="40" t="s">
        <v>1089</v>
      </c>
      <c r="E561" s="40" t="s">
        <v>7</v>
      </c>
      <c r="F561" s="72">
        <v>1</v>
      </c>
    </row>
    <row r="562" spans="1:6">
      <c r="A562" s="40" t="s">
        <v>750</v>
      </c>
      <c r="B562" s="39" t="s">
        <v>747</v>
      </c>
      <c r="C562" s="40" t="s">
        <v>1097</v>
      </c>
      <c r="D562" s="40" t="s">
        <v>1089</v>
      </c>
      <c r="E562" s="40" t="s">
        <v>7</v>
      </c>
      <c r="F562" s="72">
        <v>1</v>
      </c>
    </row>
    <row r="563" spans="1:6">
      <c r="A563" s="40" t="s">
        <v>750</v>
      </c>
      <c r="B563" s="39" t="s">
        <v>747</v>
      </c>
      <c r="C563" s="40" t="s">
        <v>1098</v>
      </c>
      <c r="D563" s="40" t="s">
        <v>1089</v>
      </c>
      <c r="E563" s="40" t="s">
        <v>7</v>
      </c>
      <c r="F563" s="72">
        <v>1</v>
      </c>
    </row>
    <row r="564" spans="1:6">
      <c r="A564" s="40" t="s">
        <v>750</v>
      </c>
      <c r="B564" s="39" t="s">
        <v>747</v>
      </c>
      <c r="C564" s="40" t="s">
        <v>1099</v>
      </c>
      <c r="D564" s="40" t="s">
        <v>1100</v>
      </c>
      <c r="E564" s="40" t="s">
        <v>7</v>
      </c>
      <c r="F564" s="72">
        <v>1</v>
      </c>
    </row>
    <row r="565" spans="1:6">
      <c r="A565" s="40" t="s">
        <v>750</v>
      </c>
      <c r="B565" s="39" t="s">
        <v>747</v>
      </c>
      <c r="C565" s="40" t="s">
        <v>1101</v>
      </c>
      <c r="D565" s="40" t="s">
        <v>1100</v>
      </c>
      <c r="E565" s="40" t="s">
        <v>7</v>
      </c>
      <c r="F565" s="72">
        <v>1</v>
      </c>
    </row>
    <row r="566" spans="1:6">
      <c r="A566" s="40" t="s">
        <v>750</v>
      </c>
      <c r="B566" s="39" t="s">
        <v>747</v>
      </c>
      <c r="C566" s="40" t="s">
        <v>1102</v>
      </c>
      <c r="D566" s="40" t="s">
        <v>1103</v>
      </c>
      <c r="E566" s="40" t="s">
        <v>7</v>
      </c>
      <c r="F566" s="72">
        <v>1</v>
      </c>
    </row>
    <row r="567" spans="1:6">
      <c r="A567" s="40" t="s">
        <v>750</v>
      </c>
      <c r="B567" s="39" t="s">
        <v>747</v>
      </c>
      <c r="C567" s="40" t="s">
        <v>1104</v>
      </c>
      <c r="D567" s="40" t="s">
        <v>1105</v>
      </c>
      <c r="E567" s="40" t="s">
        <v>7</v>
      </c>
      <c r="F567" s="72">
        <v>1</v>
      </c>
    </row>
    <row r="568" spans="1:6">
      <c r="A568" s="40" t="s">
        <v>750</v>
      </c>
      <c r="B568" s="39" t="s">
        <v>747</v>
      </c>
      <c r="C568" s="40" t="s">
        <v>1106</v>
      </c>
      <c r="D568" s="40" t="s">
        <v>1107</v>
      </c>
      <c r="E568" s="40" t="s">
        <v>7</v>
      </c>
      <c r="F568" s="72">
        <v>1</v>
      </c>
    </row>
    <row r="569" spans="1:6">
      <c r="A569" s="40" t="s">
        <v>750</v>
      </c>
      <c r="B569" s="39" t="s">
        <v>747</v>
      </c>
      <c r="C569" s="40" t="s">
        <v>1108</v>
      </c>
      <c r="D569" s="40" t="s">
        <v>1109</v>
      </c>
      <c r="E569" s="40" t="s">
        <v>7</v>
      </c>
      <c r="F569" s="72">
        <v>1</v>
      </c>
    </row>
    <row r="570" spans="1:6">
      <c r="A570" s="40" t="s">
        <v>750</v>
      </c>
      <c r="B570" s="39" t="s">
        <v>747</v>
      </c>
      <c r="C570" s="40" t="s">
        <v>1110</v>
      </c>
      <c r="D570" s="40" t="s">
        <v>1111</v>
      </c>
      <c r="E570" s="40" t="s">
        <v>7</v>
      </c>
      <c r="F570" s="72">
        <v>1</v>
      </c>
    </row>
    <row r="571" spans="1:6">
      <c r="A571" s="40" t="s">
        <v>750</v>
      </c>
      <c r="B571" s="39" t="s">
        <v>747</v>
      </c>
      <c r="C571" s="40" t="s">
        <v>1112</v>
      </c>
      <c r="D571" s="40" t="s">
        <v>1111</v>
      </c>
      <c r="E571" s="40" t="s">
        <v>7</v>
      </c>
      <c r="F571" s="72">
        <v>1</v>
      </c>
    </row>
    <row r="572" spans="1:6">
      <c r="A572" s="40" t="s">
        <v>750</v>
      </c>
      <c r="B572" s="39" t="s">
        <v>747</v>
      </c>
      <c r="C572" s="40" t="s">
        <v>1113</v>
      </c>
      <c r="D572" s="40" t="s">
        <v>1111</v>
      </c>
      <c r="E572" s="40" t="s">
        <v>7</v>
      </c>
      <c r="F572" s="72">
        <v>1</v>
      </c>
    </row>
    <row r="573" spans="1:6">
      <c r="A573" s="40" t="s">
        <v>750</v>
      </c>
      <c r="B573" s="39" t="s">
        <v>747</v>
      </c>
      <c r="C573" s="40" t="s">
        <v>1114</v>
      </c>
      <c r="D573" s="40" t="s">
        <v>1111</v>
      </c>
      <c r="E573" s="40" t="s">
        <v>7</v>
      </c>
      <c r="F573" s="72">
        <v>1</v>
      </c>
    </row>
    <row r="574" spans="1:6">
      <c r="A574" s="40" t="s">
        <v>750</v>
      </c>
      <c r="B574" s="39" t="s">
        <v>747</v>
      </c>
      <c r="C574" s="40" t="s">
        <v>1115</v>
      </c>
      <c r="D574" s="40" t="s">
        <v>1111</v>
      </c>
      <c r="E574" s="40" t="s">
        <v>7</v>
      </c>
      <c r="F574" s="72">
        <v>1</v>
      </c>
    </row>
    <row r="575" spans="1:6">
      <c r="A575" s="40" t="s">
        <v>750</v>
      </c>
      <c r="B575" s="39" t="s">
        <v>747</v>
      </c>
      <c r="C575" s="40" t="s">
        <v>1116</v>
      </c>
      <c r="D575" s="40" t="s">
        <v>1111</v>
      </c>
      <c r="E575" s="40" t="s">
        <v>7</v>
      </c>
      <c r="F575" s="72">
        <v>1</v>
      </c>
    </row>
    <row r="576" spans="1:6">
      <c r="A576" s="40" t="s">
        <v>750</v>
      </c>
      <c r="B576" s="39" t="s">
        <v>747</v>
      </c>
      <c r="C576" s="40" t="s">
        <v>1117</v>
      </c>
      <c r="D576" s="40" t="s">
        <v>96</v>
      </c>
      <c r="E576" s="40" t="s">
        <v>7</v>
      </c>
      <c r="F576" s="72">
        <v>1</v>
      </c>
    </row>
    <row r="577" spans="1:6">
      <c r="A577" s="40" t="s">
        <v>750</v>
      </c>
      <c r="B577" s="39" t="s">
        <v>747</v>
      </c>
      <c r="C577" s="40" t="s">
        <v>1118</v>
      </c>
      <c r="D577" s="40" t="s">
        <v>177</v>
      </c>
      <c r="E577" s="40" t="s">
        <v>7</v>
      </c>
      <c r="F577" s="72">
        <v>1</v>
      </c>
    </row>
    <row r="578" spans="1:6">
      <c r="A578" s="40" t="s">
        <v>750</v>
      </c>
      <c r="B578" s="39" t="s">
        <v>747</v>
      </c>
      <c r="C578" s="40" t="s">
        <v>1119</v>
      </c>
      <c r="D578" s="40" t="s">
        <v>1120</v>
      </c>
      <c r="E578" s="40" t="s">
        <v>7</v>
      </c>
      <c r="F578" s="72">
        <v>1</v>
      </c>
    </row>
    <row r="579" spans="1:6">
      <c r="A579" s="40" t="s">
        <v>750</v>
      </c>
      <c r="B579" s="39" t="s">
        <v>747</v>
      </c>
      <c r="C579" s="40" t="s">
        <v>1121</v>
      </c>
      <c r="D579" s="40" t="s">
        <v>1122</v>
      </c>
      <c r="E579" s="40" t="s">
        <v>7</v>
      </c>
      <c r="F579" s="72">
        <v>1</v>
      </c>
    </row>
    <row r="580" s="40" customFormat="1" spans="1:6">
      <c r="A580" s="40" t="s">
        <v>750</v>
      </c>
      <c r="B580" s="39" t="s">
        <v>747</v>
      </c>
      <c r="C580" s="40" t="s">
        <v>1123</v>
      </c>
      <c r="D580" s="40" t="s">
        <v>377</v>
      </c>
      <c r="E580" s="40" t="s">
        <v>7</v>
      </c>
      <c r="F580" s="72">
        <v>1</v>
      </c>
    </row>
    <row r="581" s="40" customFormat="1" spans="1:6">
      <c r="A581" s="40" t="s">
        <v>750</v>
      </c>
      <c r="B581" s="39" t="s">
        <v>747</v>
      </c>
      <c r="C581" s="40" t="s">
        <v>1124</v>
      </c>
      <c r="D581" s="40" t="s">
        <v>377</v>
      </c>
      <c r="E581" s="40" t="s">
        <v>7</v>
      </c>
      <c r="F581" s="72">
        <v>1</v>
      </c>
    </row>
    <row r="582" s="40" customFormat="1" spans="1:6">
      <c r="A582" s="40" t="s">
        <v>750</v>
      </c>
      <c r="B582" s="39" t="s">
        <v>747</v>
      </c>
      <c r="C582" s="40" t="s">
        <v>1125</v>
      </c>
      <c r="D582" s="40" t="s">
        <v>1126</v>
      </c>
      <c r="E582" s="40" t="s">
        <v>7</v>
      </c>
      <c r="F582" s="72">
        <v>1</v>
      </c>
    </row>
    <row r="583" s="40" customFormat="1" spans="1:6">
      <c r="A583" s="40" t="s">
        <v>750</v>
      </c>
      <c r="B583" s="39" t="s">
        <v>747</v>
      </c>
      <c r="C583" s="40" t="s">
        <v>1127</v>
      </c>
      <c r="D583" s="40" t="s">
        <v>698</v>
      </c>
      <c r="E583" s="40" t="s">
        <v>7</v>
      </c>
      <c r="F583" s="72">
        <v>1</v>
      </c>
    </row>
    <row r="584" s="40" customFormat="1" spans="1:6">
      <c r="A584" s="40" t="s">
        <v>750</v>
      </c>
      <c r="B584" s="39" t="s">
        <v>747</v>
      </c>
      <c r="C584" s="40" t="s">
        <v>1128</v>
      </c>
      <c r="D584" s="40" t="s">
        <v>305</v>
      </c>
      <c r="E584" s="40" t="s">
        <v>7</v>
      </c>
      <c r="F584" s="72">
        <v>1</v>
      </c>
    </row>
    <row r="585" s="40" customFormat="1" spans="1:6">
      <c r="A585" s="40" t="s">
        <v>750</v>
      </c>
      <c r="B585" s="39" t="s">
        <v>747</v>
      </c>
      <c r="C585" s="40" t="s">
        <v>1129</v>
      </c>
      <c r="D585" s="40" t="s">
        <v>1130</v>
      </c>
      <c r="E585" s="40" t="s">
        <v>7</v>
      </c>
      <c r="F585" s="72">
        <v>1</v>
      </c>
    </row>
    <row r="586" s="40" customFormat="1" spans="1:6">
      <c r="A586" s="40" t="s">
        <v>750</v>
      </c>
      <c r="B586" s="39" t="s">
        <v>747</v>
      </c>
      <c r="C586" s="40" t="s">
        <v>1131</v>
      </c>
      <c r="D586" s="40" t="s">
        <v>406</v>
      </c>
      <c r="E586" s="40" t="s">
        <v>7</v>
      </c>
      <c r="F586" s="72">
        <v>1</v>
      </c>
    </row>
    <row r="587" s="40" customFormat="1" spans="1:6">
      <c r="A587" s="40" t="s">
        <v>750</v>
      </c>
      <c r="B587" s="39" t="s">
        <v>747</v>
      </c>
      <c r="C587" s="40" t="s">
        <v>1132</v>
      </c>
      <c r="D587" s="40" t="s">
        <v>145</v>
      </c>
      <c r="E587" s="40" t="s">
        <v>7</v>
      </c>
      <c r="F587" s="72">
        <v>1</v>
      </c>
    </row>
    <row r="588" s="40" customFormat="1" spans="1:6">
      <c r="A588" s="40" t="s">
        <v>750</v>
      </c>
      <c r="B588" s="39" t="s">
        <v>747</v>
      </c>
      <c r="C588" s="40" t="s">
        <v>1133</v>
      </c>
      <c r="D588" s="40" t="s">
        <v>1134</v>
      </c>
      <c r="E588" s="40" t="s">
        <v>7</v>
      </c>
      <c r="F588" s="72">
        <v>1</v>
      </c>
    </row>
    <row r="589" s="40" customFormat="1" spans="1:6">
      <c r="A589" s="40" t="s">
        <v>750</v>
      </c>
      <c r="B589" s="39" t="s">
        <v>747</v>
      </c>
      <c r="C589" s="40" t="s">
        <v>1135</v>
      </c>
      <c r="D589" s="40" t="s">
        <v>1136</v>
      </c>
      <c r="E589" s="40" t="s">
        <v>7</v>
      </c>
      <c r="F589" s="72">
        <v>1</v>
      </c>
    </row>
    <row r="590" s="40" customFormat="1" spans="1:6">
      <c r="A590" s="40" t="s">
        <v>750</v>
      </c>
      <c r="B590" s="39" t="s">
        <v>747</v>
      </c>
      <c r="C590" s="40" t="s">
        <v>1137</v>
      </c>
      <c r="D590" s="40" t="s">
        <v>1136</v>
      </c>
      <c r="E590" s="40" t="s">
        <v>7</v>
      </c>
      <c r="F590" s="72">
        <v>1</v>
      </c>
    </row>
    <row r="591" s="40" customFormat="1" spans="1:6">
      <c r="A591" s="40" t="s">
        <v>750</v>
      </c>
      <c r="B591" s="39" t="s">
        <v>747</v>
      </c>
      <c r="C591" s="40" t="s">
        <v>1138</v>
      </c>
      <c r="D591" s="40" t="s">
        <v>1136</v>
      </c>
      <c r="E591" s="40" t="s">
        <v>7</v>
      </c>
      <c r="F591" s="72">
        <v>1</v>
      </c>
    </row>
    <row r="592" s="40" customFormat="1" spans="1:6">
      <c r="A592" s="40" t="s">
        <v>750</v>
      </c>
      <c r="B592" s="39" t="s">
        <v>747</v>
      </c>
      <c r="C592" s="40" t="s">
        <v>1139</v>
      </c>
      <c r="D592" s="40" t="s">
        <v>1140</v>
      </c>
      <c r="E592" s="40" t="s">
        <v>7</v>
      </c>
      <c r="F592" s="72">
        <v>1</v>
      </c>
    </row>
    <row r="593" s="40" customFormat="1" spans="1:6">
      <c r="A593" s="40" t="s">
        <v>750</v>
      </c>
      <c r="B593" s="39" t="s">
        <v>747</v>
      </c>
      <c r="C593" s="40" t="s">
        <v>1141</v>
      </c>
      <c r="D593" s="40" t="s">
        <v>800</v>
      </c>
      <c r="E593" s="40" t="s">
        <v>7</v>
      </c>
      <c r="F593" s="72">
        <v>1</v>
      </c>
    </row>
    <row r="594" s="40" customFormat="1" spans="1:6">
      <c r="A594" s="40" t="s">
        <v>750</v>
      </c>
      <c r="B594" s="39" t="s">
        <v>747</v>
      </c>
      <c r="C594" s="40" t="s">
        <v>1142</v>
      </c>
      <c r="D594" s="40" t="s">
        <v>1143</v>
      </c>
      <c r="E594" s="40" t="s">
        <v>7</v>
      </c>
      <c r="F594" s="72">
        <v>1</v>
      </c>
    </row>
    <row r="595" s="40" customFormat="1" spans="1:6">
      <c r="A595" s="40" t="s">
        <v>750</v>
      </c>
      <c r="B595" s="39" t="s">
        <v>747</v>
      </c>
      <c r="C595" s="40" t="s">
        <v>1144</v>
      </c>
      <c r="D595" s="40" t="s">
        <v>1145</v>
      </c>
      <c r="E595" s="40" t="s">
        <v>7</v>
      </c>
      <c r="F595" s="72">
        <v>1</v>
      </c>
    </row>
    <row r="596" s="40" customFormat="1" spans="1:6">
      <c r="A596" s="40" t="s">
        <v>750</v>
      </c>
      <c r="B596" s="39" t="s">
        <v>747</v>
      </c>
      <c r="C596" s="40" t="s">
        <v>1146</v>
      </c>
      <c r="D596" s="40" t="s">
        <v>96</v>
      </c>
      <c r="E596" s="40" t="s">
        <v>7</v>
      </c>
      <c r="F596" s="72">
        <v>1</v>
      </c>
    </row>
    <row r="597" s="40" customFormat="1" spans="1:6">
      <c r="A597" s="40" t="s">
        <v>750</v>
      </c>
      <c r="B597" s="39" t="s">
        <v>747</v>
      </c>
      <c r="C597" s="40" t="s">
        <v>1147</v>
      </c>
      <c r="D597" s="40" t="s">
        <v>1148</v>
      </c>
      <c r="E597" s="40" t="s">
        <v>7</v>
      </c>
      <c r="F597" s="72">
        <v>1</v>
      </c>
    </row>
    <row r="598" s="40" customFormat="1" spans="1:6">
      <c r="A598" s="40" t="s">
        <v>750</v>
      </c>
      <c r="B598" s="39" t="s">
        <v>747</v>
      </c>
      <c r="C598" s="40" t="s">
        <v>1149</v>
      </c>
      <c r="D598" s="40" t="s">
        <v>1150</v>
      </c>
      <c r="E598" s="40" t="s">
        <v>7</v>
      </c>
      <c r="F598" s="72">
        <v>1</v>
      </c>
    </row>
    <row r="599" s="40" customFormat="1" spans="1:6">
      <c r="A599" s="40" t="s">
        <v>750</v>
      </c>
      <c r="B599" s="39" t="s">
        <v>747</v>
      </c>
      <c r="C599" s="40" t="s">
        <v>1151</v>
      </c>
      <c r="D599" s="40" t="s">
        <v>1150</v>
      </c>
      <c r="E599" s="40" t="s">
        <v>7</v>
      </c>
      <c r="F599" s="72">
        <v>1</v>
      </c>
    </row>
    <row r="600" s="40" customFormat="1" spans="1:6">
      <c r="A600" s="40" t="s">
        <v>750</v>
      </c>
      <c r="B600" s="39" t="s">
        <v>747</v>
      </c>
      <c r="C600" s="40" t="s">
        <v>1152</v>
      </c>
      <c r="D600" s="40" t="s">
        <v>1150</v>
      </c>
      <c r="E600" s="40" t="s">
        <v>7</v>
      </c>
      <c r="F600" s="72">
        <v>1</v>
      </c>
    </row>
    <row r="601" s="40" customFormat="1" spans="1:6">
      <c r="A601" s="40" t="s">
        <v>750</v>
      </c>
      <c r="B601" s="39" t="s">
        <v>747</v>
      </c>
      <c r="C601" s="40" t="s">
        <v>1153</v>
      </c>
      <c r="D601" s="40" t="s">
        <v>149</v>
      </c>
      <c r="E601" s="40" t="s">
        <v>7</v>
      </c>
      <c r="F601" s="72">
        <v>1</v>
      </c>
    </row>
    <row r="602" s="40" customFormat="1" spans="1:6">
      <c r="A602" s="40" t="s">
        <v>750</v>
      </c>
      <c r="B602" s="39" t="s">
        <v>747</v>
      </c>
      <c r="C602" s="40" t="s">
        <v>1154</v>
      </c>
      <c r="D602" s="40" t="s">
        <v>149</v>
      </c>
      <c r="E602" s="40" t="s">
        <v>7</v>
      </c>
      <c r="F602" s="72">
        <v>1</v>
      </c>
    </row>
    <row r="603" s="40" customFormat="1" spans="1:6">
      <c r="A603" s="40" t="s">
        <v>750</v>
      </c>
      <c r="B603" s="39" t="s">
        <v>747</v>
      </c>
      <c r="C603" s="40" t="s">
        <v>1155</v>
      </c>
      <c r="D603" s="40" t="s">
        <v>149</v>
      </c>
      <c r="E603" s="40" t="s">
        <v>7</v>
      </c>
      <c r="F603" s="72">
        <v>1</v>
      </c>
    </row>
    <row r="604" s="40" customFormat="1" spans="1:6">
      <c r="A604" s="40" t="s">
        <v>750</v>
      </c>
      <c r="B604" s="39" t="s">
        <v>747</v>
      </c>
      <c r="C604" s="40" t="s">
        <v>1156</v>
      </c>
      <c r="D604" s="40" t="s">
        <v>149</v>
      </c>
      <c r="E604" s="40" t="s">
        <v>7</v>
      </c>
      <c r="F604" s="72">
        <v>1</v>
      </c>
    </row>
    <row r="605" s="40" customFormat="1" spans="1:6">
      <c r="A605" s="40" t="s">
        <v>750</v>
      </c>
      <c r="B605" s="39" t="s">
        <v>747</v>
      </c>
      <c r="C605" s="40" t="s">
        <v>1157</v>
      </c>
      <c r="D605" s="40" t="s">
        <v>305</v>
      </c>
      <c r="E605" s="40" t="s">
        <v>7</v>
      </c>
      <c r="F605" s="72">
        <v>1</v>
      </c>
    </row>
    <row r="606" s="40" customFormat="1" spans="1:6">
      <c r="A606" s="40" t="s">
        <v>750</v>
      </c>
      <c r="B606" s="39" t="s">
        <v>747</v>
      </c>
      <c r="C606" s="40" t="s">
        <v>1158</v>
      </c>
      <c r="D606" s="40" t="s">
        <v>379</v>
      </c>
      <c r="E606" s="40" t="s">
        <v>7</v>
      </c>
      <c r="F606" s="72">
        <v>1</v>
      </c>
    </row>
    <row r="607" s="40" customFormat="1" spans="1:6">
      <c r="A607" s="40" t="s">
        <v>750</v>
      </c>
      <c r="B607" s="39" t="s">
        <v>747</v>
      </c>
      <c r="C607" s="40" t="s">
        <v>1159</v>
      </c>
      <c r="D607" s="40" t="s">
        <v>379</v>
      </c>
      <c r="E607" s="40" t="s">
        <v>7</v>
      </c>
      <c r="F607" s="72">
        <v>1</v>
      </c>
    </row>
    <row r="608" s="40" customFormat="1" spans="1:6">
      <c r="A608" s="40" t="s">
        <v>750</v>
      </c>
      <c r="B608" s="39" t="s">
        <v>747</v>
      </c>
      <c r="C608" s="40" t="s">
        <v>1160</v>
      </c>
      <c r="D608" s="40" t="s">
        <v>379</v>
      </c>
      <c r="E608" s="40" t="s">
        <v>7</v>
      </c>
      <c r="F608" s="72">
        <v>1</v>
      </c>
    </row>
    <row r="609" s="40" customFormat="1" spans="1:6">
      <c r="A609" s="40" t="s">
        <v>750</v>
      </c>
      <c r="B609" s="39" t="s">
        <v>747</v>
      </c>
      <c r="C609" s="40" t="s">
        <v>1161</v>
      </c>
      <c r="D609" s="40" t="s">
        <v>379</v>
      </c>
      <c r="E609" s="40" t="s">
        <v>7</v>
      </c>
      <c r="F609" s="72">
        <v>1</v>
      </c>
    </row>
    <row r="610" s="40" customFormat="1" spans="1:6">
      <c r="A610" s="40" t="s">
        <v>750</v>
      </c>
      <c r="B610" s="39" t="s">
        <v>747</v>
      </c>
      <c r="C610" s="40" t="s">
        <v>1162</v>
      </c>
      <c r="D610" s="40" t="s">
        <v>379</v>
      </c>
      <c r="E610" s="40" t="s">
        <v>7</v>
      </c>
      <c r="F610" s="72">
        <v>1</v>
      </c>
    </row>
    <row r="611" s="40" customFormat="1" spans="1:6">
      <c r="A611" s="40" t="s">
        <v>750</v>
      </c>
      <c r="B611" s="39" t="s">
        <v>747</v>
      </c>
      <c r="C611" s="40" t="s">
        <v>1163</v>
      </c>
      <c r="D611" s="40" t="s">
        <v>379</v>
      </c>
      <c r="E611" s="40" t="s">
        <v>7</v>
      </c>
      <c r="F611" s="72">
        <v>1</v>
      </c>
    </row>
    <row r="612" s="40" customFormat="1" spans="1:6">
      <c r="A612" s="40" t="s">
        <v>750</v>
      </c>
      <c r="B612" s="39" t="s">
        <v>747</v>
      </c>
      <c r="C612" s="40" t="s">
        <v>1164</v>
      </c>
      <c r="D612" s="40" t="s">
        <v>379</v>
      </c>
      <c r="E612" s="40" t="s">
        <v>7</v>
      </c>
      <c r="F612" s="72">
        <v>1</v>
      </c>
    </row>
    <row r="613" s="40" customFormat="1" spans="1:6">
      <c r="A613" s="40" t="s">
        <v>750</v>
      </c>
      <c r="B613" s="39" t="s">
        <v>747</v>
      </c>
      <c r="C613" s="40" t="s">
        <v>1165</v>
      </c>
      <c r="D613" s="40" t="s">
        <v>379</v>
      </c>
      <c r="E613" s="40" t="s">
        <v>7</v>
      </c>
      <c r="F613" s="72">
        <v>1</v>
      </c>
    </row>
    <row r="614" s="40" customFormat="1" spans="1:6">
      <c r="A614" s="40" t="s">
        <v>750</v>
      </c>
      <c r="B614" s="39" t="s">
        <v>747</v>
      </c>
      <c r="C614" s="40" t="s">
        <v>1166</v>
      </c>
      <c r="D614" s="40" t="s">
        <v>379</v>
      </c>
      <c r="E614" s="40" t="s">
        <v>7</v>
      </c>
      <c r="F614" s="72">
        <v>1</v>
      </c>
    </row>
    <row r="615" s="40" customFormat="1" spans="1:6">
      <c r="A615" s="40" t="s">
        <v>750</v>
      </c>
      <c r="B615" s="39" t="s">
        <v>747</v>
      </c>
      <c r="C615" s="40" t="s">
        <v>1167</v>
      </c>
      <c r="D615" s="40" t="s">
        <v>379</v>
      </c>
      <c r="E615" s="40" t="s">
        <v>7</v>
      </c>
      <c r="F615" s="72">
        <v>1</v>
      </c>
    </row>
    <row r="616" s="40" customFormat="1" spans="1:6">
      <c r="A616" s="40" t="s">
        <v>750</v>
      </c>
      <c r="B616" s="39" t="s">
        <v>747</v>
      </c>
      <c r="C616" s="40" t="s">
        <v>1168</v>
      </c>
      <c r="D616" s="40" t="s">
        <v>379</v>
      </c>
      <c r="E616" s="40" t="s">
        <v>7</v>
      </c>
      <c r="F616" s="72">
        <v>1</v>
      </c>
    </row>
    <row r="617" s="40" customFormat="1" spans="1:6">
      <c r="A617" s="40" t="s">
        <v>750</v>
      </c>
      <c r="B617" s="39" t="s">
        <v>747</v>
      </c>
      <c r="C617" s="40" t="s">
        <v>1169</v>
      </c>
      <c r="D617" s="40" t="s">
        <v>379</v>
      </c>
      <c r="E617" s="40" t="s">
        <v>7</v>
      </c>
      <c r="F617" s="72">
        <v>1</v>
      </c>
    </row>
    <row r="618" s="40" customFormat="1" spans="1:6">
      <c r="A618" s="40" t="s">
        <v>750</v>
      </c>
      <c r="B618" s="39" t="s">
        <v>747</v>
      </c>
      <c r="C618" s="40" t="s">
        <v>1170</v>
      </c>
      <c r="D618" s="40" t="s">
        <v>379</v>
      </c>
      <c r="E618" s="40" t="s">
        <v>7</v>
      </c>
      <c r="F618" s="72">
        <v>1</v>
      </c>
    </row>
    <row r="619" s="40" customFormat="1" spans="1:6">
      <c r="A619" s="40" t="s">
        <v>750</v>
      </c>
      <c r="B619" s="39" t="s">
        <v>747</v>
      </c>
      <c r="C619" s="40" t="s">
        <v>1171</v>
      </c>
      <c r="D619" s="40" t="s">
        <v>379</v>
      </c>
      <c r="E619" s="40" t="s">
        <v>7</v>
      </c>
      <c r="F619" s="72">
        <v>1</v>
      </c>
    </row>
    <row r="620" s="40" customFormat="1" spans="1:6">
      <c r="A620" s="40" t="s">
        <v>750</v>
      </c>
      <c r="B620" s="39" t="s">
        <v>747</v>
      </c>
      <c r="C620" s="40" t="s">
        <v>1172</v>
      </c>
      <c r="D620" s="40" t="s">
        <v>379</v>
      </c>
      <c r="E620" s="40" t="s">
        <v>7</v>
      </c>
      <c r="F620" s="72">
        <v>1</v>
      </c>
    </row>
    <row r="621" s="40" customFormat="1" spans="1:6">
      <c r="A621" s="40" t="s">
        <v>750</v>
      </c>
      <c r="B621" s="39" t="s">
        <v>747</v>
      </c>
      <c r="C621" s="40" t="s">
        <v>1173</v>
      </c>
      <c r="D621" s="40" t="s">
        <v>379</v>
      </c>
      <c r="E621" s="40" t="s">
        <v>7</v>
      </c>
      <c r="F621" s="72">
        <v>1</v>
      </c>
    </row>
    <row r="622" s="40" customFormat="1" spans="1:6">
      <c r="A622" s="40" t="s">
        <v>750</v>
      </c>
      <c r="B622" s="39" t="s">
        <v>747</v>
      </c>
      <c r="C622" s="40" t="s">
        <v>1174</v>
      </c>
      <c r="D622" s="40" t="s">
        <v>379</v>
      </c>
      <c r="E622" s="40" t="s">
        <v>7</v>
      </c>
      <c r="F622" s="72">
        <v>1</v>
      </c>
    </row>
    <row r="623" s="40" customFormat="1" spans="1:6">
      <c r="A623" s="40" t="s">
        <v>750</v>
      </c>
      <c r="B623" s="39" t="s">
        <v>747</v>
      </c>
      <c r="C623" s="40" t="s">
        <v>1175</v>
      </c>
      <c r="D623" s="40" t="s">
        <v>379</v>
      </c>
      <c r="E623" s="40" t="s">
        <v>7</v>
      </c>
      <c r="F623" s="72">
        <v>1</v>
      </c>
    </row>
    <row r="624" s="40" customFormat="1" spans="1:6">
      <c r="A624" s="40" t="s">
        <v>750</v>
      </c>
      <c r="B624" s="39" t="s">
        <v>747</v>
      </c>
      <c r="C624" s="40" t="s">
        <v>1176</v>
      </c>
      <c r="D624" s="40" t="s">
        <v>379</v>
      </c>
      <c r="E624" s="40" t="s">
        <v>7</v>
      </c>
      <c r="F624" s="72">
        <v>1</v>
      </c>
    </row>
    <row r="625" s="40" customFormat="1" spans="1:6">
      <c r="A625" s="40" t="s">
        <v>750</v>
      </c>
      <c r="B625" s="39" t="s">
        <v>747</v>
      </c>
      <c r="C625" s="40" t="s">
        <v>1177</v>
      </c>
      <c r="D625" s="40" t="s">
        <v>380</v>
      </c>
      <c r="E625" s="40" t="s">
        <v>7</v>
      </c>
      <c r="F625" s="72">
        <v>1</v>
      </c>
    </row>
    <row r="626" s="40" customFormat="1" spans="1:6">
      <c r="A626" s="40" t="s">
        <v>750</v>
      </c>
      <c r="B626" s="39" t="s">
        <v>747</v>
      </c>
      <c r="C626" s="40" t="s">
        <v>1178</v>
      </c>
      <c r="D626" s="40" t="s">
        <v>380</v>
      </c>
      <c r="E626" s="40" t="s">
        <v>7</v>
      </c>
      <c r="F626" s="72">
        <v>1</v>
      </c>
    </row>
    <row r="627" s="40" customFormat="1" spans="1:6">
      <c r="A627" s="40" t="s">
        <v>750</v>
      </c>
      <c r="B627" s="39" t="s">
        <v>747</v>
      </c>
      <c r="C627" s="40" t="s">
        <v>1179</v>
      </c>
      <c r="D627" s="40" t="s">
        <v>380</v>
      </c>
      <c r="E627" s="40" t="s">
        <v>7</v>
      </c>
      <c r="F627" s="72">
        <v>1</v>
      </c>
    </row>
    <row r="628" s="40" customFormat="1" spans="1:6">
      <c r="A628" s="40" t="s">
        <v>750</v>
      </c>
      <c r="B628" s="39" t="s">
        <v>747</v>
      </c>
      <c r="C628" s="40" t="s">
        <v>1180</v>
      </c>
      <c r="D628" s="40" t="s">
        <v>380</v>
      </c>
      <c r="E628" s="40" t="s">
        <v>7</v>
      </c>
      <c r="F628" s="72">
        <v>1</v>
      </c>
    </row>
    <row r="629" s="40" customFormat="1" spans="1:6">
      <c r="A629" s="40" t="s">
        <v>750</v>
      </c>
      <c r="B629" s="39" t="s">
        <v>747</v>
      </c>
      <c r="C629" s="40" t="s">
        <v>1181</v>
      </c>
      <c r="D629" s="40" t="s">
        <v>380</v>
      </c>
      <c r="E629" s="40" t="s">
        <v>7</v>
      </c>
      <c r="F629" s="72">
        <v>1</v>
      </c>
    </row>
    <row r="630" s="40" customFormat="1" spans="1:6">
      <c r="A630" s="40" t="s">
        <v>750</v>
      </c>
      <c r="B630" s="39" t="s">
        <v>747</v>
      </c>
      <c r="C630" s="40" t="s">
        <v>1182</v>
      </c>
      <c r="D630" s="40" t="s">
        <v>380</v>
      </c>
      <c r="E630" s="40" t="s">
        <v>7</v>
      </c>
      <c r="F630" s="72">
        <v>1</v>
      </c>
    </row>
    <row r="631" s="40" customFormat="1" spans="1:6">
      <c r="A631" s="40" t="s">
        <v>750</v>
      </c>
      <c r="B631" s="39" t="s">
        <v>747</v>
      </c>
      <c r="C631" s="40" t="s">
        <v>1183</v>
      </c>
      <c r="D631" s="40" t="s">
        <v>380</v>
      </c>
      <c r="E631" s="40" t="s">
        <v>7</v>
      </c>
      <c r="F631" s="72">
        <v>1</v>
      </c>
    </row>
    <row r="632" s="40" customFormat="1" spans="1:6">
      <c r="A632" s="40" t="s">
        <v>750</v>
      </c>
      <c r="B632" s="39" t="s">
        <v>747</v>
      </c>
      <c r="C632" s="40" t="s">
        <v>1184</v>
      </c>
      <c r="D632" s="40" t="s">
        <v>380</v>
      </c>
      <c r="E632" s="40" t="s">
        <v>7</v>
      </c>
      <c r="F632" s="72">
        <v>1</v>
      </c>
    </row>
    <row r="633" s="40" customFormat="1" spans="1:6">
      <c r="A633" s="40" t="s">
        <v>750</v>
      </c>
      <c r="B633" s="39" t="s">
        <v>747</v>
      </c>
      <c r="C633" s="40" t="s">
        <v>1185</v>
      </c>
      <c r="D633" s="40" t="s">
        <v>380</v>
      </c>
      <c r="E633" s="40" t="s">
        <v>7</v>
      </c>
      <c r="F633" s="72">
        <v>1</v>
      </c>
    </row>
    <row r="634" s="40" customFormat="1" spans="1:6">
      <c r="A634" s="40" t="s">
        <v>750</v>
      </c>
      <c r="B634" s="39" t="s">
        <v>747</v>
      </c>
      <c r="C634" s="40" t="s">
        <v>1186</v>
      </c>
      <c r="D634" s="40" t="s">
        <v>380</v>
      </c>
      <c r="E634" s="40" t="s">
        <v>7</v>
      </c>
      <c r="F634" s="72">
        <v>1</v>
      </c>
    </row>
    <row r="635" s="40" customFormat="1" spans="1:6">
      <c r="A635" s="40" t="s">
        <v>750</v>
      </c>
      <c r="B635" s="39" t="s">
        <v>747</v>
      </c>
      <c r="C635" s="40" t="s">
        <v>1187</v>
      </c>
      <c r="D635" s="40" t="s">
        <v>380</v>
      </c>
      <c r="E635" s="40" t="s">
        <v>7</v>
      </c>
      <c r="F635" s="72">
        <v>1</v>
      </c>
    </row>
    <row r="636" s="40" customFormat="1" spans="1:6">
      <c r="A636" s="40" t="s">
        <v>750</v>
      </c>
      <c r="B636" s="39" t="s">
        <v>747</v>
      </c>
      <c r="C636" s="40" t="s">
        <v>1188</v>
      </c>
      <c r="D636" s="40" t="s">
        <v>380</v>
      </c>
      <c r="E636" s="40" t="s">
        <v>7</v>
      </c>
      <c r="F636" s="72">
        <v>1</v>
      </c>
    </row>
    <row r="637" s="40" customFormat="1" spans="1:6">
      <c r="A637" s="40" t="s">
        <v>750</v>
      </c>
      <c r="B637" s="39" t="s">
        <v>747</v>
      </c>
      <c r="C637" s="40" t="s">
        <v>1189</v>
      </c>
      <c r="D637" s="40" t="s">
        <v>380</v>
      </c>
      <c r="E637" s="40" t="s">
        <v>7</v>
      </c>
      <c r="F637" s="72">
        <v>1</v>
      </c>
    </row>
    <row r="638" s="40" customFormat="1" spans="1:6">
      <c r="A638" s="40" t="s">
        <v>750</v>
      </c>
      <c r="B638" s="39" t="s">
        <v>747</v>
      </c>
      <c r="C638" s="40" t="s">
        <v>1190</v>
      </c>
      <c r="D638" s="40" t="s">
        <v>380</v>
      </c>
      <c r="E638" s="40" t="s">
        <v>7</v>
      </c>
      <c r="F638" s="72">
        <v>1</v>
      </c>
    </row>
    <row r="639" s="40" customFormat="1" spans="1:6">
      <c r="A639" s="40" t="s">
        <v>750</v>
      </c>
      <c r="B639" s="39" t="s">
        <v>747</v>
      </c>
      <c r="C639" s="40" t="s">
        <v>1191</v>
      </c>
      <c r="D639" s="40" t="s">
        <v>380</v>
      </c>
      <c r="E639" s="40" t="s">
        <v>7</v>
      </c>
      <c r="F639" s="72">
        <v>1</v>
      </c>
    </row>
    <row r="640" s="40" customFormat="1" spans="1:6">
      <c r="A640" s="40" t="s">
        <v>750</v>
      </c>
      <c r="B640" s="39" t="s">
        <v>747</v>
      </c>
      <c r="C640" s="40" t="s">
        <v>1192</v>
      </c>
      <c r="D640" s="40" t="s">
        <v>1193</v>
      </c>
      <c r="E640" s="40" t="s">
        <v>7</v>
      </c>
      <c r="F640" s="72">
        <v>1</v>
      </c>
    </row>
    <row r="641" s="40" customFormat="1" spans="1:6">
      <c r="A641" s="40" t="s">
        <v>750</v>
      </c>
      <c r="B641" s="39" t="s">
        <v>747</v>
      </c>
      <c r="C641" s="40" t="s">
        <v>1194</v>
      </c>
      <c r="D641" s="40" t="s">
        <v>1193</v>
      </c>
      <c r="E641" s="40" t="s">
        <v>7</v>
      </c>
      <c r="F641" s="72">
        <v>1</v>
      </c>
    </row>
    <row r="642" s="40" customFormat="1" spans="1:6">
      <c r="A642" s="40" t="s">
        <v>750</v>
      </c>
      <c r="B642" s="39" t="s">
        <v>747</v>
      </c>
      <c r="C642" s="40" t="s">
        <v>1195</v>
      </c>
      <c r="D642" s="40" t="s">
        <v>1193</v>
      </c>
      <c r="E642" s="40" t="s">
        <v>7</v>
      </c>
      <c r="F642" s="72">
        <v>1</v>
      </c>
    </row>
    <row r="643" spans="1:6">
      <c r="A643" s="40" t="s">
        <v>750</v>
      </c>
      <c r="B643" s="39" t="s">
        <v>747</v>
      </c>
      <c r="C643" s="40" t="s">
        <v>1196</v>
      </c>
      <c r="D643" s="40" t="s">
        <v>49</v>
      </c>
      <c r="E643" s="40" t="s">
        <v>7</v>
      </c>
      <c r="F643" s="72">
        <v>1</v>
      </c>
    </row>
    <row r="644" spans="1:6">
      <c r="A644" s="40" t="s">
        <v>750</v>
      </c>
      <c r="B644" s="39" t="s">
        <v>747</v>
      </c>
      <c r="C644" s="40" t="s">
        <v>1197</v>
      </c>
      <c r="D644" s="40" t="s">
        <v>903</v>
      </c>
      <c r="E644" s="40" t="s">
        <v>7</v>
      </c>
      <c r="F644" s="72">
        <v>1</v>
      </c>
    </row>
    <row r="645" spans="1:6">
      <c r="A645" s="40" t="s">
        <v>750</v>
      </c>
      <c r="B645" s="39" t="s">
        <v>747</v>
      </c>
      <c r="C645" s="40" t="s">
        <v>1198</v>
      </c>
      <c r="D645" s="40" t="s">
        <v>903</v>
      </c>
      <c r="E645" s="40" t="s">
        <v>7</v>
      </c>
      <c r="F645" s="72">
        <v>1</v>
      </c>
    </row>
    <row r="646" spans="1:6">
      <c r="A646" s="40" t="s">
        <v>750</v>
      </c>
      <c r="B646" s="39" t="s">
        <v>747</v>
      </c>
      <c r="C646" s="40" t="s">
        <v>1199</v>
      </c>
      <c r="D646" s="40" t="s">
        <v>903</v>
      </c>
      <c r="E646" s="40" t="s">
        <v>7</v>
      </c>
      <c r="F646" s="72">
        <v>1</v>
      </c>
    </row>
    <row r="647" spans="1:6">
      <c r="A647" s="40" t="s">
        <v>750</v>
      </c>
      <c r="B647" s="39" t="s">
        <v>747</v>
      </c>
      <c r="C647" s="40" t="s">
        <v>1200</v>
      </c>
      <c r="D647" s="40" t="s">
        <v>903</v>
      </c>
      <c r="E647" s="40" t="s">
        <v>7</v>
      </c>
      <c r="F647" s="72">
        <v>1</v>
      </c>
    </row>
    <row r="648" spans="1:6">
      <c r="A648" s="40" t="s">
        <v>750</v>
      </c>
      <c r="B648" s="39" t="s">
        <v>747</v>
      </c>
      <c r="C648" s="40" t="s">
        <v>1201</v>
      </c>
      <c r="D648" s="40" t="s">
        <v>903</v>
      </c>
      <c r="E648" s="40" t="s">
        <v>7</v>
      </c>
      <c r="F648" s="72">
        <v>1</v>
      </c>
    </row>
    <row r="649" spans="1:6">
      <c r="A649" s="40" t="s">
        <v>750</v>
      </c>
      <c r="B649" s="39" t="s">
        <v>747</v>
      </c>
      <c r="C649" s="40" t="s">
        <v>1202</v>
      </c>
      <c r="D649" s="40" t="s">
        <v>903</v>
      </c>
      <c r="E649" s="40" t="s">
        <v>7</v>
      </c>
      <c r="F649" s="72">
        <v>1</v>
      </c>
    </row>
    <row r="650" spans="1:6">
      <c r="A650" s="40" t="s">
        <v>750</v>
      </c>
      <c r="B650" s="39" t="s">
        <v>747</v>
      </c>
      <c r="C650" s="40" t="s">
        <v>1203</v>
      </c>
      <c r="D650" s="40" t="s">
        <v>903</v>
      </c>
      <c r="E650" s="40" t="s">
        <v>7</v>
      </c>
      <c r="F650" s="72">
        <v>1</v>
      </c>
    </row>
    <row r="651" spans="1:6">
      <c r="A651" s="40" t="s">
        <v>750</v>
      </c>
      <c r="B651" s="39" t="s">
        <v>747</v>
      </c>
      <c r="C651" s="40" t="s">
        <v>1204</v>
      </c>
      <c r="D651" s="40" t="s">
        <v>903</v>
      </c>
      <c r="E651" s="40" t="s">
        <v>7</v>
      </c>
      <c r="F651" s="72">
        <v>1</v>
      </c>
    </row>
    <row r="652" spans="1:6">
      <c r="A652" s="40" t="s">
        <v>750</v>
      </c>
      <c r="B652" s="39" t="s">
        <v>747</v>
      </c>
      <c r="C652" s="40" t="s">
        <v>1205</v>
      </c>
      <c r="D652" s="40" t="s">
        <v>903</v>
      </c>
      <c r="E652" s="40" t="s">
        <v>7</v>
      </c>
      <c r="F652" s="72">
        <v>1</v>
      </c>
    </row>
    <row r="653" spans="1:6">
      <c r="A653" s="40" t="s">
        <v>750</v>
      </c>
      <c r="B653" s="39" t="s">
        <v>747</v>
      </c>
      <c r="C653" s="40" t="s">
        <v>1206</v>
      </c>
      <c r="D653" s="40" t="s">
        <v>903</v>
      </c>
      <c r="E653" s="40" t="s">
        <v>7</v>
      </c>
      <c r="F653" s="72">
        <v>1</v>
      </c>
    </row>
    <row r="654" spans="1:6">
      <c r="A654" s="40" t="s">
        <v>750</v>
      </c>
      <c r="B654" s="39" t="s">
        <v>747</v>
      </c>
      <c r="C654" s="40" t="s">
        <v>1207</v>
      </c>
      <c r="D654" s="40" t="s">
        <v>903</v>
      </c>
      <c r="E654" s="40" t="s">
        <v>7</v>
      </c>
      <c r="F654" s="72">
        <v>1</v>
      </c>
    </row>
    <row r="655" spans="1:6">
      <c r="A655" s="40" t="s">
        <v>750</v>
      </c>
      <c r="B655" s="39" t="s">
        <v>747</v>
      </c>
      <c r="C655" s="40" t="s">
        <v>1208</v>
      </c>
      <c r="D655" s="40" t="s">
        <v>1209</v>
      </c>
      <c r="E655" s="40" t="s">
        <v>7</v>
      </c>
      <c r="F655" s="72">
        <v>1</v>
      </c>
    </row>
    <row r="656" spans="1:6">
      <c r="A656" s="40" t="s">
        <v>750</v>
      </c>
      <c r="B656" s="39" t="s">
        <v>747</v>
      </c>
      <c r="C656" s="40" t="s">
        <v>1210</v>
      </c>
      <c r="D656" s="40" t="s">
        <v>49</v>
      </c>
      <c r="E656" s="40" t="s">
        <v>7</v>
      </c>
      <c r="F656" s="72">
        <v>1</v>
      </c>
    </row>
    <row r="657" spans="1:6">
      <c r="A657" s="40" t="s">
        <v>750</v>
      </c>
      <c r="B657" s="39" t="s">
        <v>747</v>
      </c>
      <c r="C657" s="40" t="s">
        <v>1211</v>
      </c>
      <c r="D657" s="40" t="s">
        <v>1212</v>
      </c>
      <c r="E657" s="40" t="s">
        <v>7</v>
      </c>
      <c r="F657" s="72">
        <v>1</v>
      </c>
    </row>
    <row r="658" spans="1:6">
      <c r="A658" s="40" t="s">
        <v>750</v>
      </c>
      <c r="B658" s="39" t="s">
        <v>747</v>
      </c>
      <c r="C658" s="40" t="s">
        <v>1213</v>
      </c>
      <c r="D658" s="40" t="s">
        <v>1214</v>
      </c>
      <c r="E658" s="40" t="s">
        <v>7</v>
      </c>
      <c r="F658" s="72">
        <v>1</v>
      </c>
    </row>
    <row r="659" spans="1:6">
      <c r="A659" s="40" t="s">
        <v>750</v>
      </c>
      <c r="B659" s="39" t="s">
        <v>747</v>
      </c>
      <c r="C659" s="40" t="s">
        <v>1215</v>
      </c>
      <c r="D659" s="40" t="s">
        <v>1214</v>
      </c>
      <c r="E659" s="40" t="s">
        <v>7</v>
      </c>
      <c r="F659" s="72">
        <v>1</v>
      </c>
    </row>
    <row r="660" spans="1:6">
      <c r="A660" s="40" t="s">
        <v>750</v>
      </c>
      <c r="B660" s="39" t="s">
        <v>747</v>
      </c>
      <c r="C660" s="40" t="s">
        <v>1216</v>
      </c>
      <c r="D660" s="40" t="s">
        <v>1214</v>
      </c>
      <c r="E660" s="40" t="s">
        <v>7</v>
      </c>
      <c r="F660" s="72">
        <v>1</v>
      </c>
    </row>
    <row r="661" spans="1:6">
      <c r="A661" s="40" t="s">
        <v>750</v>
      </c>
      <c r="B661" s="39" t="s">
        <v>747</v>
      </c>
      <c r="C661" s="40" t="s">
        <v>1217</v>
      </c>
      <c r="D661" s="40" t="s">
        <v>1214</v>
      </c>
      <c r="E661" s="40" t="s">
        <v>7</v>
      </c>
      <c r="F661" s="72">
        <v>1</v>
      </c>
    </row>
    <row r="662" spans="1:6">
      <c r="A662" s="40" t="s">
        <v>750</v>
      </c>
      <c r="B662" s="39" t="s">
        <v>747</v>
      </c>
      <c r="C662" s="40" t="s">
        <v>1218</v>
      </c>
      <c r="D662" s="40" t="s">
        <v>1214</v>
      </c>
      <c r="E662" s="40" t="s">
        <v>7</v>
      </c>
      <c r="F662" s="72">
        <v>1</v>
      </c>
    </row>
    <row r="663" spans="1:6">
      <c r="A663" s="40" t="s">
        <v>750</v>
      </c>
      <c r="B663" s="39" t="s">
        <v>747</v>
      </c>
      <c r="C663" s="40" t="s">
        <v>1219</v>
      </c>
      <c r="D663" s="40" t="s">
        <v>1214</v>
      </c>
      <c r="E663" s="40" t="s">
        <v>7</v>
      </c>
      <c r="F663" s="72">
        <v>1</v>
      </c>
    </row>
    <row r="664" spans="1:6">
      <c r="A664" s="40" t="s">
        <v>750</v>
      </c>
      <c r="B664" s="39" t="s">
        <v>747</v>
      </c>
      <c r="C664" s="40" t="s">
        <v>1220</v>
      </c>
      <c r="D664" s="40" t="s">
        <v>1214</v>
      </c>
      <c r="E664" s="40" t="s">
        <v>7</v>
      </c>
      <c r="F664" s="72">
        <v>1</v>
      </c>
    </row>
    <row r="665" spans="1:6">
      <c r="A665" s="40" t="s">
        <v>750</v>
      </c>
      <c r="B665" s="39" t="s">
        <v>747</v>
      </c>
      <c r="C665" s="40" t="s">
        <v>1221</v>
      </c>
      <c r="D665" s="40" t="s">
        <v>1214</v>
      </c>
      <c r="E665" s="40" t="s">
        <v>7</v>
      </c>
      <c r="F665" s="72">
        <v>1</v>
      </c>
    </row>
    <row r="666" spans="1:6">
      <c r="A666" s="40" t="s">
        <v>750</v>
      </c>
      <c r="B666" s="39" t="s">
        <v>747</v>
      </c>
      <c r="C666" s="40" t="s">
        <v>1222</v>
      </c>
      <c r="D666" s="40" t="s">
        <v>1214</v>
      </c>
      <c r="E666" s="40" t="s">
        <v>7</v>
      </c>
      <c r="F666" s="72">
        <v>1</v>
      </c>
    </row>
    <row r="667" spans="1:6">
      <c r="A667" s="40" t="s">
        <v>750</v>
      </c>
      <c r="B667" s="39" t="s">
        <v>747</v>
      </c>
      <c r="C667" s="40" t="s">
        <v>1223</v>
      </c>
      <c r="D667" s="40" t="s">
        <v>1214</v>
      </c>
      <c r="E667" s="40" t="s">
        <v>7</v>
      </c>
      <c r="F667" s="72">
        <v>1</v>
      </c>
    </row>
    <row r="668" spans="1:6">
      <c r="A668" s="40" t="s">
        <v>750</v>
      </c>
      <c r="B668" s="39" t="s">
        <v>747</v>
      </c>
      <c r="C668" s="40" t="s">
        <v>1224</v>
      </c>
      <c r="D668" s="40" t="s">
        <v>1214</v>
      </c>
      <c r="E668" s="40" t="s">
        <v>7</v>
      </c>
      <c r="F668" s="72">
        <v>1</v>
      </c>
    </row>
    <row r="669" spans="1:6">
      <c r="A669" s="40" t="s">
        <v>750</v>
      </c>
      <c r="B669" s="39" t="s">
        <v>747</v>
      </c>
      <c r="C669" s="40" t="s">
        <v>1225</v>
      </c>
      <c r="D669" s="40" t="s">
        <v>1214</v>
      </c>
      <c r="E669" s="40" t="s">
        <v>7</v>
      </c>
      <c r="F669" s="72">
        <v>1</v>
      </c>
    </row>
    <row r="670" spans="1:6">
      <c r="A670" s="40" t="s">
        <v>750</v>
      </c>
      <c r="B670" s="39" t="s">
        <v>747</v>
      </c>
      <c r="C670" s="40" t="s">
        <v>1226</v>
      </c>
      <c r="D670" s="40" t="s">
        <v>1214</v>
      </c>
      <c r="E670" s="40" t="s">
        <v>7</v>
      </c>
      <c r="F670" s="72">
        <v>1</v>
      </c>
    </row>
    <row r="671" spans="1:6">
      <c r="A671" s="40" t="s">
        <v>750</v>
      </c>
      <c r="B671" s="39" t="s">
        <v>747</v>
      </c>
      <c r="C671" s="40" t="s">
        <v>1227</v>
      </c>
      <c r="D671" s="40" t="s">
        <v>1214</v>
      </c>
      <c r="E671" s="40" t="s">
        <v>7</v>
      </c>
      <c r="F671" s="72">
        <v>1</v>
      </c>
    </row>
    <row r="672" spans="1:6">
      <c r="A672" s="40" t="s">
        <v>750</v>
      </c>
      <c r="B672" s="39" t="s">
        <v>747</v>
      </c>
      <c r="C672" s="40" t="s">
        <v>1228</v>
      </c>
      <c r="D672" s="40" t="s">
        <v>1214</v>
      </c>
      <c r="E672" s="40" t="s">
        <v>7</v>
      </c>
      <c r="F672" s="72">
        <v>1</v>
      </c>
    </row>
    <row r="673" spans="1:6">
      <c r="A673" s="40" t="s">
        <v>750</v>
      </c>
      <c r="B673" s="39" t="s">
        <v>747</v>
      </c>
      <c r="C673" s="40" t="s">
        <v>1229</v>
      </c>
      <c r="D673" s="40" t="s">
        <v>1214</v>
      </c>
      <c r="E673" s="40" t="s">
        <v>7</v>
      </c>
      <c r="F673" s="72">
        <v>1</v>
      </c>
    </row>
    <row r="674" spans="1:6">
      <c r="A674" s="40" t="s">
        <v>750</v>
      </c>
      <c r="B674" s="39" t="s">
        <v>747</v>
      </c>
      <c r="C674" s="40" t="s">
        <v>1230</v>
      </c>
      <c r="D674" s="40" t="s">
        <v>1214</v>
      </c>
      <c r="E674" s="40" t="s">
        <v>7</v>
      </c>
      <c r="F674" s="72">
        <v>1</v>
      </c>
    </row>
    <row r="675" spans="1:6">
      <c r="A675" s="40" t="s">
        <v>750</v>
      </c>
      <c r="B675" s="39" t="s">
        <v>747</v>
      </c>
      <c r="C675" s="40" t="s">
        <v>1231</v>
      </c>
      <c r="D675" s="40" t="s">
        <v>1214</v>
      </c>
      <c r="E675" s="40" t="s">
        <v>7</v>
      </c>
      <c r="F675" s="72">
        <v>1</v>
      </c>
    </row>
    <row r="676" spans="1:6">
      <c r="A676" s="40" t="s">
        <v>750</v>
      </c>
      <c r="B676" s="39" t="s">
        <v>747</v>
      </c>
      <c r="C676" s="40" t="s">
        <v>1232</v>
      </c>
      <c r="D676" s="40" t="s">
        <v>1233</v>
      </c>
      <c r="E676" s="40" t="s">
        <v>7</v>
      </c>
      <c r="F676" s="72">
        <v>1</v>
      </c>
    </row>
    <row r="677" spans="1:6">
      <c r="A677" s="40" t="s">
        <v>750</v>
      </c>
      <c r="B677" s="39" t="s">
        <v>747</v>
      </c>
      <c r="C677" s="40" t="s">
        <v>1234</v>
      </c>
      <c r="D677" s="40" t="s">
        <v>1235</v>
      </c>
      <c r="E677" s="40" t="s">
        <v>7</v>
      </c>
      <c r="F677" s="72">
        <v>1</v>
      </c>
    </row>
    <row r="678" spans="1:6">
      <c r="A678" s="40" t="s">
        <v>750</v>
      </c>
      <c r="B678" s="39" t="s">
        <v>747</v>
      </c>
      <c r="C678" s="40" t="s">
        <v>1236</v>
      </c>
      <c r="D678" s="40" t="s">
        <v>96</v>
      </c>
      <c r="E678" s="40" t="s">
        <v>7</v>
      </c>
      <c r="F678" s="72">
        <v>1</v>
      </c>
    </row>
    <row r="679" spans="1:6">
      <c r="A679" s="40" t="s">
        <v>750</v>
      </c>
      <c r="B679" s="39" t="s">
        <v>747</v>
      </c>
      <c r="C679" s="40" t="s">
        <v>1237</v>
      </c>
      <c r="D679" s="40" t="s">
        <v>96</v>
      </c>
      <c r="E679" s="40" t="s">
        <v>7</v>
      </c>
      <c r="F679" s="72">
        <v>1</v>
      </c>
    </row>
    <row r="680" spans="1:6">
      <c r="A680" s="40" t="s">
        <v>750</v>
      </c>
      <c r="B680" s="39" t="s">
        <v>747</v>
      </c>
      <c r="C680" s="40" t="s">
        <v>1238</v>
      </c>
      <c r="D680" s="40" t="s">
        <v>96</v>
      </c>
      <c r="E680" s="40" t="s">
        <v>7</v>
      </c>
      <c r="F680" s="72">
        <v>1</v>
      </c>
    </row>
    <row r="681" spans="1:6">
      <c r="A681" s="40" t="s">
        <v>750</v>
      </c>
      <c r="B681" s="39" t="s">
        <v>747</v>
      </c>
      <c r="C681" s="40" t="s">
        <v>1239</v>
      </c>
      <c r="D681" s="40" t="s">
        <v>96</v>
      </c>
      <c r="E681" s="40" t="s">
        <v>7</v>
      </c>
      <c r="F681" s="72">
        <v>1</v>
      </c>
    </row>
    <row r="682" spans="1:6">
      <c r="A682" s="40" t="s">
        <v>750</v>
      </c>
      <c r="B682" s="39" t="s">
        <v>747</v>
      </c>
      <c r="C682" s="40" t="s">
        <v>1240</v>
      </c>
      <c r="D682" s="40" t="s">
        <v>96</v>
      </c>
      <c r="E682" s="40" t="s">
        <v>7</v>
      </c>
      <c r="F682" s="72">
        <v>1</v>
      </c>
    </row>
    <row r="683" spans="1:6">
      <c r="A683" s="40" t="s">
        <v>750</v>
      </c>
      <c r="B683" s="39" t="s">
        <v>747</v>
      </c>
      <c r="C683" s="40" t="s">
        <v>1241</v>
      </c>
      <c r="D683" s="40" t="s">
        <v>96</v>
      </c>
      <c r="E683" s="40" t="s">
        <v>7</v>
      </c>
      <c r="F683" s="72">
        <v>1</v>
      </c>
    </row>
    <row r="684" spans="1:6">
      <c r="A684" s="40" t="s">
        <v>750</v>
      </c>
      <c r="B684" s="39" t="s">
        <v>747</v>
      </c>
      <c r="C684" s="40" t="s">
        <v>1242</v>
      </c>
      <c r="D684" s="40" t="s">
        <v>96</v>
      </c>
      <c r="E684" s="40" t="s">
        <v>7</v>
      </c>
      <c r="F684" s="72">
        <v>1</v>
      </c>
    </row>
    <row r="685" spans="1:6">
      <c r="A685" s="40" t="s">
        <v>750</v>
      </c>
      <c r="B685" s="39" t="s">
        <v>747</v>
      </c>
      <c r="C685" s="40" t="s">
        <v>1243</v>
      </c>
      <c r="D685" s="40" t="s">
        <v>96</v>
      </c>
      <c r="E685" s="40" t="s">
        <v>7</v>
      </c>
      <c r="F685" s="72">
        <v>1</v>
      </c>
    </row>
    <row r="686" spans="1:6">
      <c r="A686" s="40" t="s">
        <v>750</v>
      </c>
      <c r="B686" s="39" t="s">
        <v>747</v>
      </c>
      <c r="C686" s="40" t="s">
        <v>1244</v>
      </c>
      <c r="D686" s="40" t="s">
        <v>96</v>
      </c>
      <c r="E686" s="40" t="s">
        <v>7</v>
      </c>
      <c r="F686" s="72">
        <v>1</v>
      </c>
    </row>
    <row r="687" spans="1:6">
      <c r="A687" s="40" t="s">
        <v>750</v>
      </c>
      <c r="B687" s="39" t="s">
        <v>747</v>
      </c>
      <c r="C687" s="40" t="s">
        <v>1245</v>
      </c>
      <c r="D687" s="40" t="s">
        <v>96</v>
      </c>
      <c r="E687" s="40" t="s">
        <v>7</v>
      </c>
      <c r="F687" s="72">
        <v>1</v>
      </c>
    </row>
    <row r="688" spans="1:6">
      <c r="A688" s="40" t="s">
        <v>750</v>
      </c>
      <c r="B688" s="39" t="s">
        <v>747</v>
      </c>
      <c r="C688" s="40" t="s">
        <v>1246</v>
      </c>
      <c r="D688" s="40" t="s">
        <v>96</v>
      </c>
      <c r="E688" s="40" t="s">
        <v>7</v>
      </c>
      <c r="F688" s="72">
        <v>1</v>
      </c>
    </row>
    <row r="689" spans="1:6">
      <c r="A689" s="40" t="s">
        <v>750</v>
      </c>
      <c r="B689" s="39" t="s">
        <v>747</v>
      </c>
      <c r="C689" s="40" t="s">
        <v>1247</v>
      </c>
      <c r="D689" s="40" t="s">
        <v>96</v>
      </c>
      <c r="E689" s="40" t="s">
        <v>7</v>
      </c>
      <c r="F689" s="72">
        <v>1</v>
      </c>
    </row>
    <row r="690" spans="1:6">
      <c r="A690" s="40" t="s">
        <v>750</v>
      </c>
      <c r="B690" s="39" t="s">
        <v>747</v>
      </c>
      <c r="C690" s="40" t="s">
        <v>1248</v>
      </c>
      <c r="D690" s="40" t="s">
        <v>96</v>
      </c>
      <c r="E690" s="40" t="s">
        <v>7</v>
      </c>
      <c r="F690" s="72">
        <v>1</v>
      </c>
    </row>
    <row r="691" spans="1:6">
      <c r="A691" s="40" t="s">
        <v>750</v>
      </c>
      <c r="B691" s="39" t="s">
        <v>747</v>
      </c>
      <c r="C691" s="40" t="s">
        <v>1249</v>
      </c>
      <c r="D691" s="40" t="s">
        <v>96</v>
      </c>
      <c r="E691" s="40" t="s">
        <v>7</v>
      </c>
      <c r="F691" s="72">
        <v>1</v>
      </c>
    </row>
    <row r="692" spans="1:6">
      <c r="A692" s="40" t="s">
        <v>750</v>
      </c>
      <c r="B692" s="39" t="s">
        <v>747</v>
      </c>
      <c r="C692" s="40" t="s">
        <v>1250</v>
      </c>
      <c r="D692" s="40" t="s">
        <v>96</v>
      </c>
      <c r="E692" s="40" t="s">
        <v>7</v>
      </c>
      <c r="F692" s="72">
        <v>1</v>
      </c>
    </row>
    <row r="693" spans="1:6">
      <c r="A693" s="40" t="s">
        <v>750</v>
      </c>
      <c r="B693" s="39" t="s">
        <v>747</v>
      </c>
      <c r="C693" s="40" t="s">
        <v>1251</v>
      </c>
      <c r="D693" s="40" t="s">
        <v>96</v>
      </c>
      <c r="E693" s="40" t="s">
        <v>7</v>
      </c>
      <c r="F693" s="72">
        <v>1</v>
      </c>
    </row>
    <row r="694" spans="1:6">
      <c r="A694" s="40" t="s">
        <v>750</v>
      </c>
      <c r="B694" s="39" t="s">
        <v>747</v>
      </c>
      <c r="C694" s="40" t="s">
        <v>1252</v>
      </c>
      <c r="D694" s="40" t="s">
        <v>96</v>
      </c>
      <c r="E694" s="40" t="s">
        <v>7</v>
      </c>
      <c r="F694" s="72">
        <v>1</v>
      </c>
    </row>
    <row r="695" spans="1:6">
      <c r="A695" s="40" t="s">
        <v>750</v>
      </c>
      <c r="B695" s="39" t="s">
        <v>747</v>
      </c>
      <c r="C695" s="40" t="s">
        <v>1253</v>
      </c>
      <c r="D695" s="40" t="s">
        <v>96</v>
      </c>
      <c r="E695" s="40" t="s">
        <v>7</v>
      </c>
      <c r="F695" s="72">
        <v>1</v>
      </c>
    </row>
    <row r="696" spans="1:6">
      <c r="A696" s="40" t="s">
        <v>750</v>
      </c>
      <c r="B696" s="39" t="s">
        <v>747</v>
      </c>
      <c r="C696" s="40" t="s">
        <v>1254</v>
      </c>
      <c r="D696" s="40" t="s">
        <v>96</v>
      </c>
      <c r="E696" s="40" t="s">
        <v>7</v>
      </c>
      <c r="F696" s="72">
        <v>1</v>
      </c>
    </row>
    <row r="697" spans="1:6">
      <c r="A697" s="40" t="s">
        <v>750</v>
      </c>
      <c r="B697" s="39" t="s">
        <v>747</v>
      </c>
      <c r="C697" s="40" t="s">
        <v>1255</v>
      </c>
      <c r="D697" s="40" t="s">
        <v>1256</v>
      </c>
      <c r="E697" s="40" t="s">
        <v>7</v>
      </c>
      <c r="F697" s="72">
        <v>1</v>
      </c>
    </row>
    <row r="698" spans="1:6">
      <c r="A698" s="40" t="s">
        <v>750</v>
      </c>
      <c r="B698" s="39" t="s">
        <v>747</v>
      </c>
      <c r="C698" s="40" t="s">
        <v>1257</v>
      </c>
      <c r="D698" s="40" t="s">
        <v>95</v>
      </c>
      <c r="E698" s="40" t="s">
        <v>7</v>
      </c>
      <c r="F698" s="72">
        <v>1</v>
      </c>
    </row>
    <row r="699" spans="1:6">
      <c r="A699" s="40" t="s">
        <v>750</v>
      </c>
      <c r="B699" s="39" t="s">
        <v>747</v>
      </c>
      <c r="C699" s="40" t="s">
        <v>1258</v>
      </c>
      <c r="D699" s="40" t="s">
        <v>95</v>
      </c>
      <c r="E699" s="40" t="s">
        <v>7</v>
      </c>
      <c r="F699" s="72">
        <v>1</v>
      </c>
    </row>
    <row r="700" spans="1:6">
      <c r="A700" s="40" t="s">
        <v>750</v>
      </c>
      <c r="B700" s="39" t="s">
        <v>747</v>
      </c>
      <c r="C700" s="40" t="s">
        <v>1259</v>
      </c>
      <c r="D700" s="40" t="s">
        <v>95</v>
      </c>
      <c r="E700" s="40" t="s">
        <v>7</v>
      </c>
      <c r="F700" s="72">
        <v>1</v>
      </c>
    </row>
    <row r="701" spans="1:6">
      <c r="A701" s="40" t="s">
        <v>750</v>
      </c>
      <c r="B701" s="39" t="s">
        <v>747</v>
      </c>
      <c r="C701" s="40" t="s">
        <v>1260</v>
      </c>
      <c r="D701" s="40" t="s">
        <v>1261</v>
      </c>
      <c r="E701" s="40" t="s">
        <v>7</v>
      </c>
      <c r="F701" s="72">
        <v>1</v>
      </c>
    </row>
    <row r="702" spans="1:6">
      <c r="A702" s="40" t="s">
        <v>750</v>
      </c>
      <c r="B702" s="39" t="s">
        <v>747</v>
      </c>
      <c r="C702" s="40" t="s">
        <v>1262</v>
      </c>
      <c r="D702" s="40" t="s">
        <v>1261</v>
      </c>
      <c r="E702" s="40" t="s">
        <v>7</v>
      </c>
      <c r="F702" s="72">
        <v>1</v>
      </c>
    </row>
    <row r="703" spans="1:6">
      <c r="A703" s="40" t="s">
        <v>750</v>
      </c>
      <c r="B703" s="39" t="s">
        <v>747</v>
      </c>
      <c r="C703" s="40" t="s">
        <v>1263</v>
      </c>
      <c r="D703" s="40" t="s">
        <v>1261</v>
      </c>
      <c r="E703" s="40" t="s">
        <v>7</v>
      </c>
      <c r="F703" s="72">
        <v>1</v>
      </c>
    </row>
    <row r="704" spans="1:6">
      <c r="A704" s="40" t="s">
        <v>750</v>
      </c>
      <c r="B704" s="39" t="s">
        <v>747</v>
      </c>
      <c r="C704" s="40" t="s">
        <v>1264</v>
      </c>
      <c r="D704" s="40" t="s">
        <v>1261</v>
      </c>
      <c r="E704" s="40" t="s">
        <v>7</v>
      </c>
      <c r="F704" s="72">
        <v>1</v>
      </c>
    </row>
    <row r="705" spans="1:6">
      <c r="A705" s="40" t="s">
        <v>750</v>
      </c>
      <c r="B705" s="39" t="s">
        <v>747</v>
      </c>
      <c r="C705" s="40" t="s">
        <v>1265</v>
      </c>
      <c r="D705" s="40" t="s">
        <v>1261</v>
      </c>
      <c r="E705" s="40" t="s">
        <v>7</v>
      </c>
      <c r="F705" s="72">
        <v>1</v>
      </c>
    </row>
    <row r="706" spans="1:6">
      <c r="A706" s="40" t="s">
        <v>750</v>
      </c>
      <c r="B706" s="39" t="s">
        <v>747</v>
      </c>
      <c r="C706" s="40" t="s">
        <v>1266</v>
      </c>
      <c r="D706" s="40" t="s">
        <v>1261</v>
      </c>
      <c r="E706" s="40" t="s">
        <v>7</v>
      </c>
      <c r="F706" s="72">
        <v>1</v>
      </c>
    </row>
    <row r="707" spans="1:6">
      <c r="A707" s="40" t="s">
        <v>750</v>
      </c>
      <c r="B707" s="39" t="s">
        <v>747</v>
      </c>
      <c r="C707" s="40" t="s">
        <v>1267</v>
      </c>
      <c r="D707" s="40" t="s">
        <v>1268</v>
      </c>
      <c r="E707" s="40" t="s">
        <v>7</v>
      </c>
      <c r="F707" s="72">
        <v>1</v>
      </c>
    </row>
    <row r="708" spans="1:6">
      <c r="A708" s="40" t="s">
        <v>750</v>
      </c>
      <c r="B708" s="39" t="s">
        <v>747</v>
      </c>
      <c r="C708" s="40" t="s">
        <v>1269</v>
      </c>
      <c r="D708" s="40" t="s">
        <v>1270</v>
      </c>
      <c r="E708" s="40" t="s">
        <v>7</v>
      </c>
      <c r="F708" s="72">
        <v>1</v>
      </c>
    </row>
    <row r="709" spans="1:6">
      <c r="A709" s="40" t="s">
        <v>750</v>
      </c>
      <c r="B709" s="39" t="s">
        <v>747</v>
      </c>
      <c r="C709" s="40" t="s">
        <v>1271</v>
      </c>
      <c r="D709" s="40" t="s">
        <v>1272</v>
      </c>
      <c r="E709" s="40" t="s">
        <v>7</v>
      </c>
      <c r="F709" s="72">
        <v>1</v>
      </c>
    </row>
    <row r="710" spans="1:6">
      <c r="A710" s="40" t="s">
        <v>750</v>
      </c>
      <c r="B710" s="39" t="s">
        <v>747</v>
      </c>
      <c r="C710" s="40" t="s">
        <v>1273</v>
      </c>
      <c r="D710" s="40" t="s">
        <v>1274</v>
      </c>
      <c r="E710" s="40" t="s">
        <v>7</v>
      </c>
      <c r="F710" s="72">
        <v>1</v>
      </c>
    </row>
    <row r="711" spans="1:6">
      <c r="A711" s="40" t="s">
        <v>750</v>
      </c>
      <c r="B711" s="39" t="s">
        <v>747</v>
      </c>
      <c r="C711" s="40" t="s">
        <v>1275</v>
      </c>
      <c r="D711" s="40" t="s">
        <v>96</v>
      </c>
      <c r="E711" s="40" t="s">
        <v>7</v>
      </c>
      <c r="F711" s="72">
        <v>1</v>
      </c>
    </row>
    <row r="712" spans="1:6">
      <c r="A712" s="40" t="s">
        <v>750</v>
      </c>
      <c r="B712" s="39" t="s">
        <v>747</v>
      </c>
      <c r="C712" s="40" t="s">
        <v>1276</v>
      </c>
      <c r="D712" s="40" t="s">
        <v>96</v>
      </c>
      <c r="E712" s="40" t="s">
        <v>7</v>
      </c>
      <c r="F712" s="72">
        <v>1</v>
      </c>
    </row>
    <row r="713" spans="1:6">
      <c r="A713" s="40" t="s">
        <v>750</v>
      </c>
      <c r="B713" s="39" t="s">
        <v>747</v>
      </c>
      <c r="C713" s="40" t="s">
        <v>1277</v>
      </c>
      <c r="D713" s="40" t="s">
        <v>96</v>
      </c>
      <c r="E713" s="40" t="s">
        <v>7</v>
      </c>
      <c r="F713" s="72">
        <v>1</v>
      </c>
    </row>
    <row r="714" spans="1:6">
      <c r="A714" s="40" t="s">
        <v>750</v>
      </c>
      <c r="B714" s="39" t="s">
        <v>747</v>
      </c>
      <c r="C714" s="40" t="s">
        <v>1278</v>
      </c>
      <c r="D714" s="40" t="s">
        <v>96</v>
      </c>
      <c r="E714" s="40" t="s">
        <v>7</v>
      </c>
      <c r="F714" s="72">
        <v>1</v>
      </c>
    </row>
    <row r="715" spans="1:6">
      <c r="A715" s="40" t="s">
        <v>750</v>
      </c>
      <c r="B715" s="39" t="s">
        <v>747</v>
      </c>
      <c r="C715" s="40" t="s">
        <v>1279</v>
      </c>
      <c r="D715" s="40" t="s">
        <v>1280</v>
      </c>
      <c r="E715" s="40" t="s">
        <v>7</v>
      </c>
      <c r="F715" s="72">
        <v>1</v>
      </c>
    </row>
    <row r="716" spans="1:6">
      <c r="A716" s="40" t="s">
        <v>750</v>
      </c>
      <c r="B716" s="39" t="s">
        <v>747</v>
      </c>
      <c r="C716" s="40" t="s">
        <v>1281</v>
      </c>
      <c r="D716" s="40" t="s">
        <v>1282</v>
      </c>
      <c r="E716" s="40" t="s">
        <v>7</v>
      </c>
      <c r="F716" s="72">
        <v>1</v>
      </c>
    </row>
    <row r="717" spans="1:6">
      <c r="A717" s="40" t="s">
        <v>750</v>
      </c>
      <c r="B717" s="39" t="s">
        <v>747</v>
      </c>
      <c r="C717" s="40" t="s">
        <v>1283</v>
      </c>
      <c r="D717" s="40" t="s">
        <v>1284</v>
      </c>
      <c r="E717" s="40" t="s">
        <v>7</v>
      </c>
      <c r="F717" s="72">
        <v>1</v>
      </c>
    </row>
    <row r="718" spans="1:6">
      <c r="A718" s="40" t="s">
        <v>750</v>
      </c>
      <c r="B718" s="39" t="s">
        <v>747</v>
      </c>
      <c r="C718" s="40" t="s">
        <v>1285</v>
      </c>
      <c r="D718" s="40" t="s">
        <v>95</v>
      </c>
      <c r="E718" s="40" t="s">
        <v>7</v>
      </c>
      <c r="F718" s="72">
        <v>1</v>
      </c>
    </row>
    <row r="719" spans="1:6">
      <c r="A719" s="40" t="s">
        <v>750</v>
      </c>
      <c r="B719" s="39" t="s">
        <v>747</v>
      </c>
      <c r="C719" s="40" t="s">
        <v>1286</v>
      </c>
      <c r="D719" s="40" t="s">
        <v>35</v>
      </c>
      <c r="E719" s="40" t="s">
        <v>7</v>
      </c>
      <c r="F719" s="72">
        <v>1</v>
      </c>
    </row>
    <row r="720" spans="1:6">
      <c r="A720" s="40" t="s">
        <v>750</v>
      </c>
      <c r="B720" s="39" t="s">
        <v>747</v>
      </c>
      <c r="C720" s="40" t="s">
        <v>1287</v>
      </c>
      <c r="D720" s="40" t="s">
        <v>35</v>
      </c>
      <c r="E720" s="40" t="s">
        <v>7</v>
      </c>
      <c r="F720" s="72">
        <v>1</v>
      </c>
    </row>
    <row r="721" spans="1:6">
      <c r="A721" s="40" t="s">
        <v>750</v>
      </c>
      <c r="B721" s="39" t="s">
        <v>747</v>
      </c>
      <c r="C721" s="40" t="s">
        <v>1288</v>
      </c>
      <c r="D721" s="40" t="s">
        <v>1289</v>
      </c>
      <c r="E721" s="40" t="s">
        <v>7</v>
      </c>
      <c r="F721" s="72">
        <v>1</v>
      </c>
    </row>
    <row r="722" spans="1:6">
      <c r="A722" s="40" t="s">
        <v>750</v>
      </c>
      <c r="B722" s="39" t="s">
        <v>747</v>
      </c>
      <c r="C722" s="40" t="s">
        <v>1290</v>
      </c>
      <c r="D722" s="40" t="s">
        <v>1291</v>
      </c>
      <c r="E722" s="40" t="s">
        <v>7</v>
      </c>
      <c r="F722" s="72">
        <v>1</v>
      </c>
    </row>
    <row r="723" spans="1:6">
      <c r="A723" s="40" t="s">
        <v>750</v>
      </c>
      <c r="B723" s="39" t="s">
        <v>747</v>
      </c>
      <c r="C723" s="40" t="s">
        <v>1292</v>
      </c>
      <c r="D723" s="40" t="s">
        <v>1293</v>
      </c>
      <c r="E723" s="40" t="s">
        <v>7</v>
      </c>
      <c r="F723" s="72">
        <v>1</v>
      </c>
    </row>
    <row r="724" spans="1:6">
      <c r="A724" s="40" t="s">
        <v>750</v>
      </c>
      <c r="B724" s="39" t="s">
        <v>747</v>
      </c>
      <c r="C724" s="40" t="s">
        <v>1294</v>
      </c>
      <c r="D724" s="40" t="s">
        <v>1295</v>
      </c>
      <c r="E724" s="40" t="s">
        <v>7</v>
      </c>
      <c r="F724" s="72">
        <v>1</v>
      </c>
    </row>
    <row r="725" spans="1:6">
      <c r="A725" s="40" t="s">
        <v>750</v>
      </c>
      <c r="B725" s="39" t="s">
        <v>747</v>
      </c>
      <c r="C725" s="40" t="s">
        <v>1296</v>
      </c>
      <c r="D725" s="40" t="s">
        <v>1297</v>
      </c>
      <c r="E725" s="40" t="s">
        <v>7</v>
      </c>
      <c r="F725" s="72">
        <v>1</v>
      </c>
    </row>
    <row r="726" spans="1:6">
      <c r="A726" s="40" t="s">
        <v>750</v>
      </c>
      <c r="B726" s="39" t="s">
        <v>747</v>
      </c>
      <c r="C726" s="40" t="s">
        <v>1298</v>
      </c>
      <c r="D726" s="40" t="s">
        <v>1299</v>
      </c>
      <c r="E726" s="40" t="s">
        <v>7</v>
      </c>
      <c r="F726" s="72">
        <v>1</v>
      </c>
    </row>
    <row r="727" spans="1:6">
      <c r="A727" s="40" t="s">
        <v>750</v>
      </c>
      <c r="B727" s="39" t="s">
        <v>747</v>
      </c>
      <c r="C727" s="40" t="s">
        <v>1300</v>
      </c>
      <c r="D727" s="40" t="s">
        <v>1301</v>
      </c>
      <c r="E727" s="40" t="s">
        <v>7</v>
      </c>
      <c r="F727" s="72">
        <v>1</v>
      </c>
    </row>
    <row r="728" spans="1:6">
      <c r="A728" s="40" t="s">
        <v>750</v>
      </c>
      <c r="B728" s="39" t="s">
        <v>747</v>
      </c>
      <c r="C728" s="40" t="s">
        <v>1302</v>
      </c>
      <c r="D728" s="40" t="s">
        <v>1303</v>
      </c>
      <c r="E728" s="40" t="s">
        <v>7</v>
      </c>
      <c r="F728" s="72">
        <v>1</v>
      </c>
    </row>
    <row r="729" spans="1:6">
      <c r="A729" s="40" t="s">
        <v>750</v>
      </c>
      <c r="B729" s="39" t="s">
        <v>747</v>
      </c>
      <c r="C729" s="40" t="s">
        <v>1304</v>
      </c>
      <c r="D729" s="40" t="s">
        <v>1303</v>
      </c>
      <c r="E729" s="40" t="s">
        <v>7</v>
      </c>
      <c r="F729" s="72">
        <v>1</v>
      </c>
    </row>
    <row r="730" s="40" customFormat="1" spans="1:6">
      <c r="A730" s="40" t="s">
        <v>750</v>
      </c>
      <c r="B730" s="39" t="s">
        <v>747</v>
      </c>
      <c r="C730" s="40" t="s">
        <v>1305</v>
      </c>
      <c r="D730" s="40" t="s">
        <v>305</v>
      </c>
      <c r="E730" s="40" t="s">
        <v>7</v>
      </c>
      <c r="F730" s="72">
        <v>1</v>
      </c>
    </row>
    <row r="731" spans="1:6">
      <c r="A731" s="40" t="s">
        <v>750</v>
      </c>
      <c r="B731" s="39" t="s">
        <v>747</v>
      </c>
      <c r="C731" s="40" t="s">
        <v>1306</v>
      </c>
      <c r="D731" s="40" t="s">
        <v>1307</v>
      </c>
      <c r="E731" s="40" t="s">
        <v>7</v>
      </c>
      <c r="F731" s="72">
        <v>1</v>
      </c>
    </row>
    <row r="732" spans="1:6">
      <c r="A732" s="40" t="s">
        <v>750</v>
      </c>
      <c r="B732" s="39" t="s">
        <v>747</v>
      </c>
      <c r="C732" s="40" t="s">
        <v>1308</v>
      </c>
      <c r="D732" s="40" t="s">
        <v>1309</v>
      </c>
      <c r="E732" s="40" t="s">
        <v>7</v>
      </c>
      <c r="F732" s="72">
        <v>1</v>
      </c>
    </row>
    <row r="733" spans="1:6">
      <c r="A733" s="40" t="s">
        <v>750</v>
      </c>
      <c r="B733" s="39" t="s">
        <v>747</v>
      </c>
      <c r="C733" s="40" t="s">
        <v>1310</v>
      </c>
      <c r="D733" s="40" t="s">
        <v>1309</v>
      </c>
      <c r="E733" s="40" t="s">
        <v>7</v>
      </c>
      <c r="F733" s="72">
        <v>1</v>
      </c>
    </row>
    <row r="734" spans="1:6">
      <c r="A734" s="40" t="s">
        <v>750</v>
      </c>
      <c r="B734" s="39" t="s">
        <v>747</v>
      </c>
      <c r="C734" s="40" t="s">
        <v>1311</v>
      </c>
      <c r="D734" s="40" t="s">
        <v>1309</v>
      </c>
      <c r="E734" s="40" t="s">
        <v>7</v>
      </c>
      <c r="F734" s="72">
        <v>1</v>
      </c>
    </row>
    <row r="735" spans="1:6">
      <c r="A735" s="40" t="s">
        <v>750</v>
      </c>
      <c r="B735" s="39" t="s">
        <v>747</v>
      </c>
      <c r="C735" s="40" t="s">
        <v>1312</v>
      </c>
      <c r="D735" s="40" t="s">
        <v>1309</v>
      </c>
      <c r="E735" s="40" t="s">
        <v>7</v>
      </c>
      <c r="F735" s="72">
        <v>1</v>
      </c>
    </row>
    <row r="736" spans="1:6">
      <c r="A736" s="40" t="s">
        <v>750</v>
      </c>
      <c r="B736" s="39" t="s">
        <v>747</v>
      </c>
      <c r="C736" s="40" t="s">
        <v>1313</v>
      </c>
      <c r="D736" s="40" t="s">
        <v>1309</v>
      </c>
      <c r="E736" s="40" t="s">
        <v>7</v>
      </c>
      <c r="F736" s="72">
        <v>1</v>
      </c>
    </row>
    <row r="737" spans="1:6">
      <c r="A737" s="40" t="s">
        <v>750</v>
      </c>
      <c r="B737" s="39" t="s">
        <v>747</v>
      </c>
      <c r="C737" s="40" t="s">
        <v>1314</v>
      </c>
      <c r="D737" s="40" t="s">
        <v>1309</v>
      </c>
      <c r="E737" s="40" t="s">
        <v>7</v>
      </c>
      <c r="F737" s="72">
        <v>1</v>
      </c>
    </row>
    <row r="738" spans="1:6">
      <c r="A738" s="40" t="s">
        <v>750</v>
      </c>
      <c r="B738" s="39" t="s">
        <v>747</v>
      </c>
      <c r="C738" s="40" t="s">
        <v>1315</v>
      </c>
      <c r="D738" s="40" t="s">
        <v>1309</v>
      </c>
      <c r="E738" s="40" t="s">
        <v>7</v>
      </c>
      <c r="F738" s="72">
        <v>1</v>
      </c>
    </row>
    <row r="739" spans="1:6">
      <c r="A739" s="40" t="s">
        <v>750</v>
      </c>
      <c r="B739" s="39" t="s">
        <v>747</v>
      </c>
      <c r="C739" s="40" t="s">
        <v>1316</v>
      </c>
      <c r="D739" s="40" t="s">
        <v>1309</v>
      </c>
      <c r="E739" s="40" t="s">
        <v>7</v>
      </c>
      <c r="F739" s="72">
        <v>1</v>
      </c>
    </row>
    <row r="740" spans="1:6">
      <c r="A740" s="40" t="s">
        <v>750</v>
      </c>
      <c r="B740" s="39" t="s">
        <v>747</v>
      </c>
      <c r="C740" s="40" t="s">
        <v>1317</v>
      </c>
      <c r="D740" s="40" t="s">
        <v>1309</v>
      </c>
      <c r="E740" s="40" t="s">
        <v>7</v>
      </c>
      <c r="F740" s="72">
        <v>1</v>
      </c>
    </row>
    <row r="741" spans="1:6">
      <c r="A741" s="40" t="s">
        <v>750</v>
      </c>
      <c r="B741" s="39" t="s">
        <v>747</v>
      </c>
      <c r="C741" s="40" t="s">
        <v>1318</v>
      </c>
      <c r="D741" s="40" t="s">
        <v>1309</v>
      </c>
      <c r="E741" s="40" t="s">
        <v>7</v>
      </c>
      <c r="F741" s="72">
        <v>1</v>
      </c>
    </row>
    <row r="742" spans="1:6">
      <c r="A742" s="40" t="s">
        <v>750</v>
      </c>
      <c r="B742" s="39" t="s">
        <v>747</v>
      </c>
      <c r="C742" s="40" t="s">
        <v>1319</v>
      </c>
      <c r="D742" s="40" t="s">
        <v>1309</v>
      </c>
      <c r="E742" s="40" t="s">
        <v>7</v>
      </c>
      <c r="F742" s="72">
        <v>1</v>
      </c>
    </row>
    <row r="743" spans="1:6">
      <c r="A743" s="40" t="s">
        <v>750</v>
      </c>
      <c r="B743" s="39" t="s">
        <v>747</v>
      </c>
      <c r="C743" s="40" t="s">
        <v>1320</v>
      </c>
      <c r="D743" s="40" t="s">
        <v>1309</v>
      </c>
      <c r="E743" s="40" t="s">
        <v>7</v>
      </c>
      <c r="F743" s="72">
        <v>1</v>
      </c>
    </row>
    <row r="744" spans="1:6">
      <c r="A744" s="40" t="s">
        <v>750</v>
      </c>
      <c r="B744" s="39" t="s">
        <v>747</v>
      </c>
      <c r="C744" s="40" t="s">
        <v>1321</v>
      </c>
      <c r="D744" s="40" t="s">
        <v>1309</v>
      </c>
      <c r="E744" s="40" t="s">
        <v>7</v>
      </c>
      <c r="F744" s="72">
        <v>1</v>
      </c>
    </row>
    <row r="745" spans="1:6">
      <c r="A745" s="40" t="s">
        <v>750</v>
      </c>
      <c r="B745" s="39" t="s">
        <v>747</v>
      </c>
      <c r="C745" s="40" t="s">
        <v>1322</v>
      </c>
      <c r="D745" s="40" t="s">
        <v>1309</v>
      </c>
      <c r="E745" s="40" t="s">
        <v>7</v>
      </c>
      <c r="F745" s="72">
        <v>1</v>
      </c>
    </row>
    <row r="746" spans="1:6">
      <c r="A746" s="40" t="s">
        <v>750</v>
      </c>
      <c r="B746" s="39" t="s">
        <v>747</v>
      </c>
      <c r="C746" s="40" t="s">
        <v>1323</v>
      </c>
      <c r="D746" s="40" t="s">
        <v>1309</v>
      </c>
      <c r="E746" s="40" t="s">
        <v>7</v>
      </c>
      <c r="F746" s="72">
        <v>1</v>
      </c>
    </row>
    <row r="747" spans="1:6">
      <c r="A747" s="40" t="s">
        <v>750</v>
      </c>
      <c r="B747" s="39" t="s">
        <v>747</v>
      </c>
      <c r="C747" s="40" t="s">
        <v>1324</v>
      </c>
      <c r="D747" s="40" t="s">
        <v>1309</v>
      </c>
      <c r="E747" s="40" t="s">
        <v>7</v>
      </c>
      <c r="F747" s="72">
        <v>1</v>
      </c>
    </row>
    <row r="748" spans="1:6">
      <c r="A748" s="40" t="s">
        <v>750</v>
      </c>
      <c r="B748" s="39" t="s">
        <v>747</v>
      </c>
      <c r="C748" s="40" t="s">
        <v>1325</v>
      </c>
      <c r="D748" s="40" t="s">
        <v>1309</v>
      </c>
      <c r="E748" s="40" t="s">
        <v>7</v>
      </c>
      <c r="F748" s="72">
        <v>1</v>
      </c>
    </row>
    <row r="749" spans="1:6">
      <c r="A749" s="40" t="s">
        <v>750</v>
      </c>
      <c r="B749" s="39" t="s">
        <v>747</v>
      </c>
      <c r="C749" s="40" t="s">
        <v>1326</v>
      </c>
      <c r="D749" s="40" t="s">
        <v>1309</v>
      </c>
      <c r="E749" s="40" t="s">
        <v>7</v>
      </c>
      <c r="F749" s="72">
        <v>1</v>
      </c>
    </row>
    <row r="750" spans="1:6">
      <c r="A750" s="40" t="s">
        <v>750</v>
      </c>
      <c r="B750" s="39" t="s">
        <v>747</v>
      </c>
      <c r="C750" s="40" t="s">
        <v>1327</v>
      </c>
      <c r="D750" s="40" t="s">
        <v>1309</v>
      </c>
      <c r="E750" s="40" t="s">
        <v>7</v>
      </c>
      <c r="F750" s="72">
        <v>1</v>
      </c>
    </row>
    <row r="751" spans="1:6">
      <c r="A751" s="40" t="s">
        <v>750</v>
      </c>
      <c r="B751" s="39" t="s">
        <v>747</v>
      </c>
      <c r="C751" s="40" t="s">
        <v>1328</v>
      </c>
      <c r="D751" s="40" t="s">
        <v>1309</v>
      </c>
      <c r="E751" s="40" t="s">
        <v>7</v>
      </c>
      <c r="F751" s="72">
        <v>1</v>
      </c>
    </row>
    <row r="752" spans="1:6">
      <c r="A752" s="40" t="s">
        <v>750</v>
      </c>
      <c r="B752" s="39" t="s">
        <v>747</v>
      </c>
      <c r="C752" s="40" t="s">
        <v>1329</v>
      </c>
      <c r="D752" s="40" t="s">
        <v>1309</v>
      </c>
      <c r="E752" s="40" t="s">
        <v>7</v>
      </c>
      <c r="F752" s="72">
        <v>1</v>
      </c>
    </row>
    <row r="753" spans="1:6">
      <c r="A753" s="40" t="s">
        <v>750</v>
      </c>
      <c r="B753" s="39" t="s">
        <v>747</v>
      </c>
      <c r="C753" s="40" t="s">
        <v>1330</v>
      </c>
      <c r="D753" s="40" t="s">
        <v>1309</v>
      </c>
      <c r="E753" s="40" t="s">
        <v>7</v>
      </c>
      <c r="F753" s="72">
        <v>1</v>
      </c>
    </row>
    <row r="754" spans="1:6">
      <c r="A754" s="40" t="s">
        <v>750</v>
      </c>
      <c r="B754" s="39" t="s">
        <v>747</v>
      </c>
      <c r="C754" s="40" t="s">
        <v>1331</v>
      </c>
      <c r="D754" s="40" t="s">
        <v>1309</v>
      </c>
      <c r="E754" s="40" t="s">
        <v>7</v>
      </c>
      <c r="F754" s="72">
        <v>1</v>
      </c>
    </row>
    <row r="755" spans="1:6">
      <c r="A755" s="40" t="s">
        <v>750</v>
      </c>
      <c r="B755" s="39" t="s">
        <v>747</v>
      </c>
      <c r="C755" s="40" t="s">
        <v>1332</v>
      </c>
      <c r="D755" s="40" t="s">
        <v>1309</v>
      </c>
      <c r="E755" s="40" t="s">
        <v>7</v>
      </c>
      <c r="F755" s="72">
        <v>1</v>
      </c>
    </row>
    <row r="756" spans="1:6">
      <c r="A756" s="40" t="s">
        <v>750</v>
      </c>
      <c r="B756" s="39" t="s">
        <v>747</v>
      </c>
      <c r="C756" s="40" t="s">
        <v>1333</v>
      </c>
      <c r="D756" s="40" t="s">
        <v>1309</v>
      </c>
      <c r="E756" s="40" t="s">
        <v>7</v>
      </c>
      <c r="F756" s="72">
        <v>1</v>
      </c>
    </row>
    <row r="757" spans="1:6">
      <c r="A757" s="40" t="s">
        <v>750</v>
      </c>
      <c r="B757" s="39" t="s">
        <v>747</v>
      </c>
      <c r="C757" s="40" t="s">
        <v>1334</v>
      </c>
      <c r="D757" s="40" t="s">
        <v>1309</v>
      </c>
      <c r="E757" s="40" t="s">
        <v>7</v>
      </c>
      <c r="F757" s="72">
        <v>1</v>
      </c>
    </row>
    <row r="758" spans="1:6">
      <c r="A758" s="40" t="s">
        <v>750</v>
      </c>
      <c r="B758" s="39" t="s">
        <v>747</v>
      </c>
      <c r="C758" s="40" t="s">
        <v>1335</v>
      </c>
      <c r="D758" s="40" t="s">
        <v>1309</v>
      </c>
      <c r="E758" s="40" t="s">
        <v>7</v>
      </c>
      <c r="F758" s="72">
        <v>1</v>
      </c>
    </row>
    <row r="759" spans="1:6">
      <c r="A759" s="40" t="s">
        <v>750</v>
      </c>
      <c r="B759" s="39" t="s">
        <v>747</v>
      </c>
      <c r="C759" s="40" t="s">
        <v>1336</v>
      </c>
      <c r="D759" s="40" t="s">
        <v>1309</v>
      </c>
      <c r="E759" s="40" t="s">
        <v>7</v>
      </c>
      <c r="F759" s="72">
        <v>1</v>
      </c>
    </row>
    <row r="760" spans="1:6">
      <c r="A760" s="40" t="s">
        <v>750</v>
      </c>
      <c r="B760" s="39" t="s">
        <v>747</v>
      </c>
      <c r="C760" s="40" t="s">
        <v>1337</v>
      </c>
      <c r="D760" s="40" t="s">
        <v>1309</v>
      </c>
      <c r="E760" s="40" t="s">
        <v>7</v>
      </c>
      <c r="F760" s="72">
        <v>1</v>
      </c>
    </row>
    <row r="761" spans="1:6">
      <c r="A761" s="40" t="s">
        <v>750</v>
      </c>
      <c r="B761" s="39" t="s">
        <v>747</v>
      </c>
      <c r="C761" s="40" t="s">
        <v>1338</v>
      </c>
      <c r="D761" s="40" t="s">
        <v>1309</v>
      </c>
      <c r="E761" s="40" t="s">
        <v>7</v>
      </c>
      <c r="F761" s="72">
        <v>1</v>
      </c>
    </row>
    <row r="762" spans="1:6">
      <c r="A762" s="40" t="s">
        <v>750</v>
      </c>
      <c r="B762" s="39" t="s">
        <v>747</v>
      </c>
      <c r="C762" s="40" t="s">
        <v>1339</v>
      </c>
      <c r="D762" s="40" t="s">
        <v>1309</v>
      </c>
      <c r="E762" s="40" t="s">
        <v>7</v>
      </c>
      <c r="F762" s="72">
        <v>1</v>
      </c>
    </row>
    <row r="763" spans="1:6">
      <c r="A763" s="40" t="s">
        <v>750</v>
      </c>
      <c r="B763" s="39" t="s">
        <v>747</v>
      </c>
      <c r="C763" s="40" t="s">
        <v>1340</v>
      </c>
      <c r="D763" s="40" t="s">
        <v>1309</v>
      </c>
      <c r="E763" s="40" t="s">
        <v>7</v>
      </c>
      <c r="F763" s="72">
        <v>1</v>
      </c>
    </row>
    <row r="764" spans="1:6">
      <c r="A764" s="40" t="s">
        <v>750</v>
      </c>
      <c r="B764" s="39" t="s">
        <v>747</v>
      </c>
      <c r="C764" s="40" t="s">
        <v>1341</v>
      </c>
      <c r="D764" s="40" t="s">
        <v>1309</v>
      </c>
      <c r="E764" s="40" t="s">
        <v>7</v>
      </c>
      <c r="F764" s="72">
        <v>1</v>
      </c>
    </row>
    <row r="765" spans="1:6">
      <c r="A765" s="40" t="s">
        <v>750</v>
      </c>
      <c r="B765" s="39" t="s">
        <v>747</v>
      </c>
      <c r="C765" s="40" t="s">
        <v>1342</v>
      </c>
      <c r="D765" s="40" t="s">
        <v>1309</v>
      </c>
      <c r="E765" s="40" t="s">
        <v>7</v>
      </c>
      <c r="F765" s="72">
        <v>1</v>
      </c>
    </row>
    <row r="766" spans="1:6">
      <c r="A766" s="40" t="s">
        <v>750</v>
      </c>
      <c r="B766" s="39" t="s">
        <v>747</v>
      </c>
      <c r="C766" s="40" t="s">
        <v>1343</v>
      </c>
      <c r="D766" s="40" t="s">
        <v>1309</v>
      </c>
      <c r="E766" s="40" t="s">
        <v>7</v>
      </c>
      <c r="F766" s="72">
        <v>1</v>
      </c>
    </row>
    <row r="767" spans="1:6">
      <c r="A767" s="40" t="s">
        <v>750</v>
      </c>
      <c r="B767" s="39" t="s">
        <v>747</v>
      </c>
      <c r="C767" s="40" t="s">
        <v>1344</v>
      </c>
      <c r="D767" s="40" t="s">
        <v>1309</v>
      </c>
      <c r="E767" s="40" t="s">
        <v>7</v>
      </c>
      <c r="F767" s="72">
        <v>1</v>
      </c>
    </row>
    <row r="768" spans="1:6">
      <c r="A768" s="40" t="s">
        <v>750</v>
      </c>
      <c r="B768" s="39" t="s">
        <v>747</v>
      </c>
      <c r="C768" s="40" t="s">
        <v>1345</v>
      </c>
      <c r="D768" s="40" t="s">
        <v>1309</v>
      </c>
      <c r="E768" s="40" t="s">
        <v>7</v>
      </c>
      <c r="F768" s="72">
        <v>1</v>
      </c>
    </row>
    <row r="769" spans="1:6">
      <c r="A769" s="40" t="s">
        <v>750</v>
      </c>
      <c r="B769" s="39" t="s">
        <v>747</v>
      </c>
      <c r="C769" s="40" t="s">
        <v>1346</v>
      </c>
      <c r="D769" s="40" t="s">
        <v>1309</v>
      </c>
      <c r="E769" s="40" t="s">
        <v>7</v>
      </c>
      <c r="F769" s="72">
        <v>1</v>
      </c>
    </row>
    <row r="770" spans="1:6">
      <c r="A770" s="40" t="s">
        <v>750</v>
      </c>
      <c r="B770" s="39" t="s">
        <v>747</v>
      </c>
      <c r="C770" s="40" t="s">
        <v>1347</v>
      </c>
      <c r="D770" s="40" t="s">
        <v>1309</v>
      </c>
      <c r="E770" s="40" t="s">
        <v>7</v>
      </c>
      <c r="F770" s="72">
        <v>1</v>
      </c>
    </row>
    <row r="771" spans="1:6">
      <c r="A771" s="40" t="s">
        <v>750</v>
      </c>
      <c r="B771" s="39" t="s">
        <v>747</v>
      </c>
      <c r="C771" s="40" t="s">
        <v>1348</v>
      </c>
      <c r="D771" s="40" t="s">
        <v>1349</v>
      </c>
      <c r="E771" s="40" t="s">
        <v>7</v>
      </c>
      <c r="F771" s="72">
        <v>1</v>
      </c>
    </row>
    <row r="772" spans="1:6">
      <c r="A772" s="40" t="s">
        <v>750</v>
      </c>
      <c r="B772" s="39" t="s">
        <v>747</v>
      </c>
      <c r="C772" s="40" t="s">
        <v>1350</v>
      </c>
      <c r="D772" s="40" t="s">
        <v>1349</v>
      </c>
      <c r="E772" s="40" t="s">
        <v>7</v>
      </c>
      <c r="F772" s="72">
        <v>1</v>
      </c>
    </row>
    <row r="773" spans="1:6">
      <c r="A773" s="40" t="s">
        <v>750</v>
      </c>
      <c r="B773" s="39" t="s">
        <v>747</v>
      </c>
      <c r="C773" s="40" t="s">
        <v>1351</v>
      </c>
      <c r="D773" s="40" t="s">
        <v>1349</v>
      </c>
      <c r="E773" s="40" t="s">
        <v>7</v>
      </c>
      <c r="F773" s="72">
        <v>1</v>
      </c>
    </row>
    <row r="774" spans="1:6">
      <c r="A774" s="40" t="s">
        <v>750</v>
      </c>
      <c r="B774" s="39" t="s">
        <v>747</v>
      </c>
      <c r="C774" s="40" t="s">
        <v>1352</v>
      </c>
      <c r="D774" s="40" t="s">
        <v>1349</v>
      </c>
      <c r="E774" s="40" t="s">
        <v>7</v>
      </c>
      <c r="F774" s="72">
        <v>1</v>
      </c>
    </row>
    <row r="775" spans="1:6">
      <c r="A775" s="40" t="s">
        <v>750</v>
      </c>
      <c r="B775" s="39" t="s">
        <v>747</v>
      </c>
      <c r="C775" s="40" t="s">
        <v>1353</v>
      </c>
      <c r="D775" s="40" t="s">
        <v>1349</v>
      </c>
      <c r="E775" s="40" t="s">
        <v>7</v>
      </c>
      <c r="F775" s="72">
        <v>1</v>
      </c>
    </row>
    <row r="776" spans="1:6">
      <c r="A776" s="40" t="s">
        <v>750</v>
      </c>
      <c r="B776" s="39" t="s">
        <v>747</v>
      </c>
      <c r="C776" s="40" t="s">
        <v>1354</v>
      </c>
      <c r="D776" s="40" t="s">
        <v>1349</v>
      </c>
      <c r="E776" s="40" t="s">
        <v>7</v>
      </c>
      <c r="F776" s="72">
        <v>1</v>
      </c>
    </row>
    <row r="777" spans="1:6">
      <c r="A777" s="40" t="s">
        <v>750</v>
      </c>
      <c r="B777" s="39" t="s">
        <v>747</v>
      </c>
      <c r="C777" s="40" t="s">
        <v>1355</v>
      </c>
      <c r="D777" s="40" t="s">
        <v>1356</v>
      </c>
      <c r="E777" s="40" t="s">
        <v>7</v>
      </c>
      <c r="F777" s="72">
        <v>1</v>
      </c>
    </row>
    <row r="778" spans="1:6">
      <c r="A778" s="40" t="s">
        <v>750</v>
      </c>
      <c r="B778" s="39" t="s">
        <v>747</v>
      </c>
      <c r="C778" s="40" t="s">
        <v>1357</v>
      </c>
      <c r="D778" s="40" t="s">
        <v>1356</v>
      </c>
      <c r="E778" s="40" t="s">
        <v>7</v>
      </c>
      <c r="F778" s="72">
        <v>1</v>
      </c>
    </row>
    <row r="779" spans="1:6">
      <c r="A779" s="40" t="s">
        <v>750</v>
      </c>
      <c r="B779" s="39" t="s">
        <v>747</v>
      </c>
      <c r="C779" s="40" t="s">
        <v>1358</v>
      </c>
      <c r="D779" s="40" t="s">
        <v>1359</v>
      </c>
      <c r="E779" s="40" t="s">
        <v>7</v>
      </c>
      <c r="F779" s="72">
        <v>1</v>
      </c>
    </row>
    <row r="780" spans="1:6">
      <c r="A780" s="40" t="s">
        <v>750</v>
      </c>
      <c r="B780" s="39" t="s">
        <v>747</v>
      </c>
      <c r="C780" s="40" t="s">
        <v>1360</v>
      </c>
      <c r="D780" s="40" t="s">
        <v>220</v>
      </c>
      <c r="E780" s="40" t="s">
        <v>7</v>
      </c>
      <c r="F780" s="72">
        <v>1</v>
      </c>
    </row>
    <row r="781" spans="1:6">
      <c r="A781" s="40" t="s">
        <v>750</v>
      </c>
      <c r="B781" s="39" t="s">
        <v>747</v>
      </c>
      <c r="C781" s="40" t="s">
        <v>1361</v>
      </c>
      <c r="D781" s="40" t="s">
        <v>220</v>
      </c>
      <c r="E781" s="40" t="s">
        <v>7</v>
      </c>
      <c r="F781" s="72">
        <v>1</v>
      </c>
    </row>
    <row r="782" spans="1:6">
      <c r="A782" s="40" t="s">
        <v>750</v>
      </c>
      <c r="B782" s="39" t="s">
        <v>747</v>
      </c>
      <c r="C782" s="40" t="s">
        <v>1362</v>
      </c>
      <c r="D782" s="40" t="s">
        <v>232</v>
      </c>
      <c r="E782" s="40" t="s">
        <v>7</v>
      </c>
      <c r="F782" s="72">
        <v>1</v>
      </c>
    </row>
    <row r="783" spans="1:6">
      <c r="A783" s="40" t="s">
        <v>750</v>
      </c>
      <c r="B783" s="39" t="s">
        <v>747</v>
      </c>
      <c r="C783" s="40" t="s">
        <v>1363</v>
      </c>
      <c r="D783" s="40" t="s">
        <v>1364</v>
      </c>
      <c r="E783" s="40" t="s">
        <v>7</v>
      </c>
      <c r="F783" s="72">
        <v>1</v>
      </c>
    </row>
    <row r="784" spans="1:6">
      <c r="A784" s="40" t="s">
        <v>750</v>
      </c>
      <c r="B784" s="39" t="s">
        <v>747</v>
      </c>
      <c r="C784" s="40" t="s">
        <v>1365</v>
      </c>
      <c r="D784" s="40" t="s">
        <v>1366</v>
      </c>
      <c r="E784" s="40" t="s">
        <v>7</v>
      </c>
      <c r="F784" s="72">
        <v>1</v>
      </c>
    </row>
    <row r="785" spans="1:6">
      <c r="A785" s="40" t="s">
        <v>750</v>
      </c>
      <c r="B785" s="39" t="s">
        <v>747</v>
      </c>
      <c r="C785" s="40" t="s">
        <v>1367</v>
      </c>
      <c r="D785" s="40" t="s">
        <v>1368</v>
      </c>
      <c r="E785" s="40" t="s">
        <v>7</v>
      </c>
      <c r="F785" s="72">
        <v>1</v>
      </c>
    </row>
    <row r="786" spans="1:6">
      <c r="A786" s="40" t="s">
        <v>750</v>
      </c>
      <c r="B786" s="39" t="s">
        <v>747</v>
      </c>
      <c r="C786" s="40" t="s">
        <v>1369</v>
      </c>
      <c r="D786" s="40" t="s">
        <v>1368</v>
      </c>
      <c r="E786" s="40" t="s">
        <v>7</v>
      </c>
      <c r="F786" s="72">
        <v>1</v>
      </c>
    </row>
    <row r="787" spans="1:6">
      <c r="A787" s="40" t="s">
        <v>750</v>
      </c>
      <c r="B787" s="39" t="s">
        <v>747</v>
      </c>
      <c r="C787" s="40" t="s">
        <v>1370</v>
      </c>
      <c r="D787" s="40" t="s">
        <v>1368</v>
      </c>
      <c r="E787" s="40" t="s">
        <v>7</v>
      </c>
      <c r="F787" s="72">
        <v>1</v>
      </c>
    </row>
    <row r="788" spans="1:6">
      <c r="A788" s="40" t="s">
        <v>750</v>
      </c>
      <c r="B788" s="39" t="s">
        <v>747</v>
      </c>
      <c r="C788" s="40" t="s">
        <v>1371</v>
      </c>
      <c r="D788" s="40" t="s">
        <v>1368</v>
      </c>
      <c r="E788" s="40" t="s">
        <v>7</v>
      </c>
      <c r="F788" s="72">
        <v>1</v>
      </c>
    </row>
    <row r="789" spans="1:6">
      <c r="A789" s="40" t="s">
        <v>750</v>
      </c>
      <c r="B789" s="39" t="s">
        <v>747</v>
      </c>
      <c r="C789" s="40" t="s">
        <v>1372</v>
      </c>
      <c r="D789" s="40" t="s">
        <v>1368</v>
      </c>
      <c r="E789" s="40" t="s">
        <v>7</v>
      </c>
      <c r="F789" s="72">
        <v>1</v>
      </c>
    </row>
    <row r="790" spans="1:6">
      <c r="A790" s="40" t="s">
        <v>750</v>
      </c>
      <c r="B790" s="39" t="s">
        <v>747</v>
      </c>
      <c r="C790" s="40" t="s">
        <v>1373</v>
      </c>
      <c r="D790" s="40" t="s">
        <v>1368</v>
      </c>
      <c r="E790" s="40" t="s">
        <v>7</v>
      </c>
      <c r="F790" s="72">
        <v>1</v>
      </c>
    </row>
    <row r="791" spans="1:6">
      <c r="A791" s="40" t="s">
        <v>750</v>
      </c>
      <c r="B791" s="39" t="s">
        <v>747</v>
      </c>
      <c r="C791" s="40" t="s">
        <v>1374</v>
      </c>
      <c r="D791" s="40" t="s">
        <v>1375</v>
      </c>
      <c r="E791" s="40" t="s">
        <v>7</v>
      </c>
      <c r="F791" s="72">
        <v>1</v>
      </c>
    </row>
    <row r="792" spans="1:6">
      <c r="A792" s="40" t="s">
        <v>750</v>
      </c>
      <c r="B792" s="39" t="s">
        <v>747</v>
      </c>
      <c r="C792" s="40" t="s">
        <v>1376</v>
      </c>
      <c r="D792" s="40" t="s">
        <v>1375</v>
      </c>
      <c r="E792" s="40" t="s">
        <v>7</v>
      </c>
      <c r="F792" s="72">
        <v>1</v>
      </c>
    </row>
    <row r="793" spans="1:6">
      <c r="A793" s="40" t="s">
        <v>750</v>
      </c>
      <c r="B793" s="39" t="s">
        <v>747</v>
      </c>
      <c r="C793" s="40" t="s">
        <v>1377</v>
      </c>
      <c r="D793" s="40" t="s">
        <v>1375</v>
      </c>
      <c r="E793" s="40" t="s">
        <v>7</v>
      </c>
      <c r="F793" s="72">
        <v>1</v>
      </c>
    </row>
    <row r="794" spans="1:6">
      <c r="A794" s="40" t="s">
        <v>750</v>
      </c>
      <c r="B794" s="39" t="s">
        <v>747</v>
      </c>
      <c r="C794" s="40" t="s">
        <v>1378</v>
      </c>
      <c r="D794" s="40" t="s">
        <v>1375</v>
      </c>
      <c r="E794" s="40" t="s">
        <v>7</v>
      </c>
      <c r="F794" s="72">
        <v>1</v>
      </c>
    </row>
    <row r="795" spans="1:6">
      <c r="A795" s="40" t="s">
        <v>750</v>
      </c>
      <c r="B795" s="39" t="s">
        <v>747</v>
      </c>
      <c r="C795" s="40" t="s">
        <v>1379</v>
      </c>
      <c r="D795" s="40" t="s">
        <v>1375</v>
      </c>
      <c r="E795" s="40" t="s">
        <v>7</v>
      </c>
      <c r="F795" s="72">
        <v>1</v>
      </c>
    </row>
    <row r="796" spans="1:6">
      <c r="A796" s="40" t="s">
        <v>750</v>
      </c>
      <c r="B796" s="39" t="s">
        <v>747</v>
      </c>
      <c r="C796" s="40" t="s">
        <v>1380</v>
      </c>
      <c r="D796" s="40" t="s">
        <v>1375</v>
      </c>
      <c r="E796" s="40" t="s">
        <v>7</v>
      </c>
      <c r="F796" s="72">
        <v>1</v>
      </c>
    </row>
    <row r="797" s="40" customFormat="1" spans="1:6">
      <c r="A797" s="40" t="s">
        <v>750</v>
      </c>
      <c r="B797" s="39" t="s">
        <v>747</v>
      </c>
      <c r="C797" s="40" t="s">
        <v>1381</v>
      </c>
      <c r="D797" s="40" t="s">
        <v>378</v>
      </c>
      <c r="E797" s="40" t="s">
        <v>7</v>
      </c>
      <c r="F797" s="72">
        <v>1</v>
      </c>
    </row>
    <row r="798" s="40" customFormat="1" spans="1:6">
      <c r="A798" s="40" t="s">
        <v>750</v>
      </c>
      <c r="B798" s="39" t="s">
        <v>747</v>
      </c>
      <c r="C798" s="40" t="s">
        <v>1382</v>
      </c>
      <c r="D798" s="40" t="s">
        <v>378</v>
      </c>
      <c r="E798" s="40" t="s">
        <v>7</v>
      </c>
      <c r="F798" s="72">
        <v>1</v>
      </c>
    </row>
    <row r="799" s="40" customFormat="1" spans="1:6">
      <c r="A799" s="40" t="s">
        <v>750</v>
      </c>
      <c r="B799" s="39" t="s">
        <v>747</v>
      </c>
      <c r="C799" s="40" t="s">
        <v>1383</v>
      </c>
      <c r="D799" s="40" t="s">
        <v>378</v>
      </c>
      <c r="E799" s="40" t="s">
        <v>7</v>
      </c>
      <c r="F799" s="72">
        <v>1</v>
      </c>
    </row>
    <row r="800" s="40" customFormat="1" spans="1:6">
      <c r="A800" s="40" t="s">
        <v>750</v>
      </c>
      <c r="B800" s="39" t="s">
        <v>747</v>
      </c>
      <c r="C800" s="40" t="s">
        <v>1384</v>
      </c>
      <c r="D800" s="40" t="s">
        <v>378</v>
      </c>
      <c r="E800" s="40" t="s">
        <v>7</v>
      </c>
      <c r="F800" s="72">
        <v>1</v>
      </c>
    </row>
    <row r="801" s="40" customFormat="1" spans="1:6">
      <c r="A801" s="40" t="s">
        <v>750</v>
      </c>
      <c r="B801" s="39" t="s">
        <v>747</v>
      </c>
      <c r="C801" s="40" t="s">
        <v>1385</v>
      </c>
      <c r="D801" s="40" t="s">
        <v>305</v>
      </c>
      <c r="E801" s="40" t="s">
        <v>7</v>
      </c>
      <c r="F801" s="72">
        <v>1</v>
      </c>
    </row>
    <row r="802" s="40" customFormat="1" spans="1:6">
      <c r="A802" s="40" t="s">
        <v>750</v>
      </c>
      <c r="B802" s="39" t="s">
        <v>747</v>
      </c>
      <c r="C802" s="40" t="s">
        <v>1386</v>
      </c>
      <c r="D802" s="40" t="s">
        <v>305</v>
      </c>
      <c r="E802" s="40" t="s">
        <v>7</v>
      </c>
      <c r="F802" s="72">
        <v>1</v>
      </c>
    </row>
    <row r="803" spans="1:6">
      <c r="A803" s="40" t="s">
        <v>750</v>
      </c>
      <c r="B803" s="39" t="s">
        <v>747</v>
      </c>
      <c r="C803" s="40" t="s">
        <v>1387</v>
      </c>
      <c r="D803" s="40" t="s">
        <v>96</v>
      </c>
      <c r="E803" s="40" t="s">
        <v>7</v>
      </c>
      <c r="F803" s="72">
        <v>1</v>
      </c>
    </row>
    <row r="804" spans="1:6">
      <c r="A804" s="40" t="s">
        <v>750</v>
      </c>
      <c r="B804" s="39" t="s">
        <v>747</v>
      </c>
      <c r="C804" s="40" t="s">
        <v>1388</v>
      </c>
      <c r="D804" s="40" t="s">
        <v>177</v>
      </c>
      <c r="E804" s="40" t="s">
        <v>7</v>
      </c>
      <c r="F804" s="72">
        <v>1</v>
      </c>
    </row>
    <row r="805" spans="1:6">
      <c r="A805" s="40" t="s">
        <v>750</v>
      </c>
      <c r="B805" s="39" t="s">
        <v>747</v>
      </c>
      <c r="C805" s="40" t="s">
        <v>1389</v>
      </c>
      <c r="D805" s="40" t="s">
        <v>49</v>
      </c>
      <c r="E805" s="40" t="s">
        <v>7</v>
      </c>
      <c r="F805" s="72">
        <v>1</v>
      </c>
    </row>
    <row r="806" spans="1:6">
      <c r="A806" s="40" t="s">
        <v>750</v>
      </c>
      <c r="B806" s="39" t="s">
        <v>747</v>
      </c>
      <c r="C806" s="40" t="s">
        <v>1390</v>
      </c>
      <c r="D806" s="40" t="s">
        <v>1391</v>
      </c>
      <c r="E806" s="40" t="s">
        <v>7</v>
      </c>
      <c r="F806" s="72">
        <v>1</v>
      </c>
    </row>
    <row r="807" spans="1:6">
      <c r="A807" s="40" t="s">
        <v>750</v>
      </c>
      <c r="B807" s="39" t="s">
        <v>747</v>
      </c>
      <c r="C807" s="40" t="s">
        <v>1392</v>
      </c>
      <c r="D807" s="40" t="s">
        <v>1391</v>
      </c>
      <c r="E807" s="40" t="s">
        <v>7</v>
      </c>
      <c r="F807" s="72">
        <v>1</v>
      </c>
    </row>
    <row r="808" spans="1:6">
      <c r="A808" s="40" t="s">
        <v>750</v>
      </c>
      <c r="B808" s="39" t="s">
        <v>747</v>
      </c>
      <c r="C808" s="40" t="s">
        <v>1393</v>
      </c>
      <c r="D808" s="40" t="s">
        <v>1391</v>
      </c>
      <c r="E808" s="40" t="s">
        <v>7</v>
      </c>
      <c r="F808" s="72">
        <v>1</v>
      </c>
    </row>
    <row r="809" spans="1:6">
      <c r="A809" s="40" t="s">
        <v>750</v>
      </c>
      <c r="B809" s="39" t="s">
        <v>747</v>
      </c>
      <c r="C809" s="40" t="s">
        <v>1394</v>
      </c>
      <c r="D809" s="40" t="s">
        <v>1391</v>
      </c>
      <c r="E809" s="40" t="s">
        <v>7</v>
      </c>
      <c r="F809" s="72">
        <v>1</v>
      </c>
    </row>
    <row r="810" spans="1:6">
      <c r="A810" s="40" t="s">
        <v>750</v>
      </c>
      <c r="B810" s="39" t="s">
        <v>747</v>
      </c>
      <c r="C810" s="40" t="s">
        <v>1395</v>
      </c>
      <c r="D810" s="40" t="s">
        <v>1391</v>
      </c>
      <c r="E810" s="40" t="s">
        <v>7</v>
      </c>
      <c r="F810" s="72">
        <v>1</v>
      </c>
    </row>
    <row r="811" spans="1:6">
      <c r="A811" s="40" t="s">
        <v>750</v>
      </c>
      <c r="B811" s="39" t="s">
        <v>747</v>
      </c>
      <c r="C811" s="40" t="s">
        <v>1396</v>
      </c>
      <c r="D811" s="40" t="s">
        <v>1391</v>
      </c>
      <c r="E811" s="40" t="s">
        <v>7</v>
      </c>
      <c r="F811" s="72">
        <v>1</v>
      </c>
    </row>
    <row r="812" spans="1:6">
      <c r="A812" s="40" t="s">
        <v>750</v>
      </c>
      <c r="B812" s="39" t="s">
        <v>747</v>
      </c>
      <c r="C812" s="40" t="s">
        <v>1397</v>
      </c>
      <c r="D812" s="40" t="s">
        <v>1391</v>
      </c>
      <c r="E812" s="40" t="s">
        <v>7</v>
      </c>
      <c r="F812" s="72">
        <v>1</v>
      </c>
    </row>
    <row r="813" spans="1:6">
      <c r="A813" s="40" t="s">
        <v>750</v>
      </c>
      <c r="B813" s="39" t="s">
        <v>747</v>
      </c>
      <c r="C813" s="40" t="s">
        <v>1398</v>
      </c>
      <c r="D813" s="40" t="s">
        <v>1391</v>
      </c>
      <c r="E813" s="40" t="s">
        <v>7</v>
      </c>
      <c r="F813" s="72">
        <v>1</v>
      </c>
    </row>
    <row r="814" spans="1:6">
      <c r="A814" s="40" t="s">
        <v>750</v>
      </c>
      <c r="B814" s="39" t="s">
        <v>747</v>
      </c>
      <c r="C814" s="40" t="s">
        <v>1399</v>
      </c>
      <c r="D814" s="40" t="s">
        <v>1391</v>
      </c>
      <c r="E814" s="40" t="s">
        <v>7</v>
      </c>
      <c r="F814" s="72">
        <v>1</v>
      </c>
    </row>
    <row r="815" spans="1:6">
      <c r="A815" s="40" t="s">
        <v>750</v>
      </c>
      <c r="B815" s="39" t="s">
        <v>747</v>
      </c>
      <c r="C815" s="40" t="s">
        <v>1400</v>
      </c>
      <c r="D815" s="40" t="s">
        <v>1391</v>
      </c>
      <c r="E815" s="40" t="s">
        <v>7</v>
      </c>
      <c r="F815" s="72">
        <v>1</v>
      </c>
    </row>
    <row r="816" spans="1:6">
      <c r="A816" s="40" t="s">
        <v>750</v>
      </c>
      <c r="B816" s="39" t="s">
        <v>747</v>
      </c>
      <c r="C816" s="40" t="s">
        <v>1401</v>
      </c>
      <c r="D816" s="40" t="s">
        <v>1391</v>
      </c>
      <c r="E816" s="40" t="s">
        <v>7</v>
      </c>
      <c r="F816" s="72">
        <v>1</v>
      </c>
    </row>
    <row r="817" spans="1:6">
      <c r="A817" s="40" t="s">
        <v>750</v>
      </c>
      <c r="B817" s="39" t="s">
        <v>747</v>
      </c>
      <c r="C817" s="40" t="s">
        <v>1402</v>
      </c>
      <c r="D817" s="40" t="s">
        <v>1391</v>
      </c>
      <c r="E817" s="40" t="s">
        <v>7</v>
      </c>
      <c r="F817" s="72">
        <v>1</v>
      </c>
    </row>
    <row r="818" spans="1:6">
      <c r="A818" s="40" t="s">
        <v>750</v>
      </c>
      <c r="B818" s="39" t="s">
        <v>747</v>
      </c>
      <c r="C818" s="40" t="s">
        <v>1403</v>
      </c>
      <c r="D818" s="40" t="s">
        <v>1391</v>
      </c>
      <c r="E818" s="40" t="s">
        <v>7</v>
      </c>
      <c r="F818" s="72">
        <v>1</v>
      </c>
    </row>
    <row r="819" spans="1:6">
      <c r="A819" s="40" t="s">
        <v>750</v>
      </c>
      <c r="B819" s="39" t="s">
        <v>747</v>
      </c>
      <c r="C819" s="40" t="s">
        <v>1404</v>
      </c>
      <c r="D819" s="40" t="s">
        <v>1391</v>
      </c>
      <c r="E819" s="40" t="s">
        <v>7</v>
      </c>
      <c r="F819" s="72">
        <v>1</v>
      </c>
    </row>
    <row r="820" spans="1:6">
      <c r="A820" s="40" t="s">
        <v>750</v>
      </c>
      <c r="B820" s="39" t="s">
        <v>747</v>
      </c>
      <c r="C820" s="40" t="s">
        <v>1405</v>
      </c>
      <c r="D820" s="40" t="s">
        <v>108</v>
      </c>
      <c r="E820" s="40" t="s">
        <v>7</v>
      </c>
      <c r="F820" s="72">
        <v>1</v>
      </c>
    </row>
    <row r="821" spans="1:6">
      <c r="A821" s="40" t="s">
        <v>750</v>
      </c>
      <c r="B821" s="39" t="s">
        <v>747</v>
      </c>
      <c r="C821" s="40" t="s">
        <v>1406</v>
      </c>
      <c r="D821" s="40" t="s">
        <v>95</v>
      </c>
      <c r="E821" s="40" t="s">
        <v>7</v>
      </c>
      <c r="F821" s="72">
        <v>1</v>
      </c>
    </row>
    <row r="822" spans="1:6">
      <c r="A822" s="40" t="s">
        <v>750</v>
      </c>
      <c r="B822" s="39" t="s">
        <v>747</v>
      </c>
      <c r="C822" s="40" t="s">
        <v>1407</v>
      </c>
      <c r="D822" s="40" t="s">
        <v>95</v>
      </c>
      <c r="E822" s="40" t="s">
        <v>7</v>
      </c>
      <c r="F822" s="72">
        <v>1</v>
      </c>
    </row>
    <row r="823" spans="1:6">
      <c r="A823" s="40" t="s">
        <v>750</v>
      </c>
      <c r="B823" s="39" t="s">
        <v>747</v>
      </c>
      <c r="C823" s="40" t="s">
        <v>1408</v>
      </c>
      <c r="D823" s="40" t="s">
        <v>94</v>
      </c>
      <c r="E823" s="40" t="s">
        <v>7</v>
      </c>
      <c r="F823" s="72">
        <v>1</v>
      </c>
    </row>
    <row r="824" spans="1:6">
      <c r="A824" s="40" t="s">
        <v>750</v>
      </c>
      <c r="B824" s="39" t="s">
        <v>747</v>
      </c>
      <c r="C824" s="40" t="s">
        <v>1409</v>
      </c>
      <c r="D824" s="40" t="s">
        <v>96</v>
      </c>
      <c r="E824" s="40" t="s">
        <v>7</v>
      </c>
      <c r="F824" s="72">
        <v>1</v>
      </c>
    </row>
    <row r="825" spans="1:6">
      <c r="A825" s="40" t="s">
        <v>750</v>
      </c>
      <c r="B825" s="39" t="s">
        <v>747</v>
      </c>
      <c r="C825" s="40" t="s">
        <v>1410</v>
      </c>
      <c r="D825" s="40" t="s">
        <v>96</v>
      </c>
      <c r="E825" s="40" t="s">
        <v>7</v>
      </c>
      <c r="F825" s="72">
        <v>1</v>
      </c>
    </row>
    <row r="826" spans="1:6">
      <c r="A826" s="40" t="s">
        <v>750</v>
      </c>
      <c r="B826" s="39" t="s">
        <v>747</v>
      </c>
      <c r="C826" s="40" t="s">
        <v>1411</v>
      </c>
      <c r="D826" s="40" t="s">
        <v>96</v>
      </c>
      <c r="E826" s="40" t="s">
        <v>7</v>
      </c>
      <c r="F826" s="72">
        <v>1</v>
      </c>
    </row>
    <row r="827" spans="1:6">
      <c r="A827" s="40" t="s">
        <v>750</v>
      </c>
      <c r="B827" s="39" t="s">
        <v>747</v>
      </c>
      <c r="C827" s="40" t="s">
        <v>1412</v>
      </c>
      <c r="D827" s="40" t="s">
        <v>96</v>
      </c>
      <c r="E827" s="40" t="s">
        <v>7</v>
      </c>
      <c r="F827" s="72">
        <v>1</v>
      </c>
    </row>
    <row r="828" spans="1:6">
      <c r="A828" s="40" t="s">
        <v>750</v>
      </c>
      <c r="B828" s="39" t="s">
        <v>747</v>
      </c>
      <c r="C828" s="40" t="s">
        <v>1413</v>
      </c>
      <c r="D828" s="40" t="s">
        <v>96</v>
      </c>
      <c r="E828" s="40" t="s">
        <v>7</v>
      </c>
      <c r="F828" s="72">
        <v>1</v>
      </c>
    </row>
    <row r="829" spans="1:6">
      <c r="A829" s="40" t="s">
        <v>750</v>
      </c>
      <c r="B829" s="39" t="s">
        <v>747</v>
      </c>
      <c r="C829" s="40" t="s">
        <v>1414</v>
      </c>
      <c r="D829" s="40" t="s">
        <v>96</v>
      </c>
      <c r="E829" s="40" t="s">
        <v>7</v>
      </c>
      <c r="F829" s="72">
        <v>1</v>
      </c>
    </row>
    <row r="830" spans="1:6">
      <c r="A830" s="40" t="s">
        <v>750</v>
      </c>
      <c r="B830" s="39" t="s">
        <v>747</v>
      </c>
      <c r="C830" s="40" t="s">
        <v>1415</v>
      </c>
      <c r="D830" s="40" t="s">
        <v>96</v>
      </c>
      <c r="E830" s="40" t="s">
        <v>7</v>
      </c>
      <c r="F830" s="72">
        <v>1</v>
      </c>
    </row>
    <row r="831" spans="1:6">
      <c r="A831" s="40" t="s">
        <v>750</v>
      </c>
      <c r="B831" s="39" t="s">
        <v>747</v>
      </c>
      <c r="C831" s="40" t="s">
        <v>1416</v>
      </c>
      <c r="D831" s="40" t="s">
        <v>96</v>
      </c>
      <c r="E831" s="40" t="s">
        <v>7</v>
      </c>
      <c r="F831" s="72">
        <v>1</v>
      </c>
    </row>
    <row r="832" spans="1:6">
      <c r="A832" s="40" t="s">
        <v>750</v>
      </c>
      <c r="B832" s="39" t="s">
        <v>747</v>
      </c>
      <c r="C832" s="40" t="s">
        <v>1417</v>
      </c>
      <c r="D832" s="40" t="s">
        <v>96</v>
      </c>
      <c r="E832" s="40" t="s">
        <v>7</v>
      </c>
      <c r="F832" s="72">
        <v>1</v>
      </c>
    </row>
    <row r="833" spans="1:6">
      <c r="A833" s="40" t="s">
        <v>750</v>
      </c>
      <c r="B833" s="39" t="s">
        <v>747</v>
      </c>
      <c r="C833" s="40" t="s">
        <v>1418</v>
      </c>
      <c r="D833" s="40" t="s">
        <v>96</v>
      </c>
      <c r="E833" s="40" t="s">
        <v>7</v>
      </c>
      <c r="F833" s="72">
        <v>1</v>
      </c>
    </row>
    <row r="834" spans="1:6">
      <c r="A834" s="40" t="s">
        <v>750</v>
      </c>
      <c r="B834" s="39" t="s">
        <v>747</v>
      </c>
      <c r="C834" s="40" t="s">
        <v>1419</v>
      </c>
      <c r="D834" s="40" t="s">
        <v>96</v>
      </c>
      <c r="E834" s="40" t="s">
        <v>7</v>
      </c>
      <c r="F834" s="72">
        <v>1</v>
      </c>
    </row>
    <row r="835" spans="1:6">
      <c r="A835" s="40" t="s">
        <v>750</v>
      </c>
      <c r="B835" s="39" t="s">
        <v>747</v>
      </c>
      <c r="C835" s="40" t="s">
        <v>1420</v>
      </c>
      <c r="D835" s="40" t="s">
        <v>96</v>
      </c>
      <c r="E835" s="40" t="s">
        <v>7</v>
      </c>
      <c r="F835" s="72">
        <v>1</v>
      </c>
    </row>
    <row r="836" spans="1:6">
      <c r="A836" s="40" t="s">
        <v>750</v>
      </c>
      <c r="B836" s="39" t="s">
        <v>747</v>
      </c>
      <c r="C836" s="40" t="s">
        <v>1421</v>
      </c>
      <c r="D836" s="40" t="s">
        <v>96</v>
      </c>
      <c r="E836" s="40" t="s">
        <v>7</v>
      </c>
      <c r="F836" s="72">
        <v>1</v>
      </c>
    </row>
    <row r="837" spans="1:6">
      <c r="A837" s="40" t="s">
        <v>750</v>
      </c>
      <c r="B837" s="39" t="s">
        <v>747</v>
      </c>
      <c r="C837" s="40" t="s">
        <v>1422</v>
      </c>
      <c r="D837" s="40" t="s">
        <v>96</v>
      </c>
      <c r="E837" s="40" t="s">
        <v>7</v>
      </c>
      <c r="F837" s="72">
        <v>1</v>
      </c>
    </row>
    <row r="838" spans="1:6">
      <c r="A838" s="40" t="s">
        <v>750</v>
      </c>
      <c r="B838" s="39" t="s">
        <v>747</v>
      </c>
      <c r="C838" s="40" t="s">
        <v>1423</v>
      </c>
      <c r="D838" s="40" t="s">
        <v>96</v>
      </c>
      <c r="E838" s="40" t="s">
        <v>7</v>
      </c>
      <c r="F838" s="72">
        <v>1</v>
      </c>
    </row>
    <row r="839" spans="1:6">
      <c r="A839" s="40" t="s">
        <v>750</v>
      </c>
      <c r="B839" s="39" t="s">
        <v>747</v>
      </c>
      <c r="C839" s="40" t="s">
        <v>1424</v>
      </c>
      <c r="D839" s="40" t="s">
        <v>96</v>
      </c>
      <c r="E839" s="40" t="s">
        <v>7</v>
      </c>
      <c r="F839" s="72">
        <v>1</v>
      </c>
    </row>
    <row r="840" spans="1:6">
      <c r="A840" s="40" t="s">
        <v>750</v>
      </c>
      <c r="B840" s="39" t="s">
        <v>747</v>
      </c>
      <c r="C840" s="40" t="s">
        <v>1425</v>
      </c>
      <c r="D840" s="40" t="s">
        <v>96</v>
      </c>
      <c r="E840" s="40" t="s">
        <v>7</v>
      </c>
      <c r="F840" s="72">
        <v>1</v>
      </c>
    </row>
    <row r="841" spans="1:6">
      <c r="A841" s="40" t="s">
        <v>750</v>
      </c>
      <c r="B841" s="39" t="s">
        <v>747</v>
      </c>
      <c r="C841" s="40" t="s">
        <v>1426</v>
      </c>
      <c r="D841" s="40" t="s">
        <v>96</v>
      </c>
      <c r="E841" s="40" t="s">
        <v>7</v>
      </c>
      <c r="F841" s="72">
        <v>1</v>
      </c>
    </row>
    <row r="842" spans="1:6">
      <c r="A842" s="40" t="s">
        <v>750</v>
      </c>
      <c r="B842" s="39" t="s">
        <v>747</v>
      </c>
      <c r="C842" s="40" t="s">
        <v>1427</v>
      </c>
      <c r="D842" s="40" t="s">
        <v>96</v>
      </c>
      <c r="E842" s="40" t="s">
        <v>7</v>
      </c>
      <c r="F842" s="72">
        <v>1</v>
      </c>
    </row>
    <row r="843" spans="1:6">
      <c r="A843" s="40" t="s">
        <v>750</v>
      </c>
      <c r="B843" s="39" t="s">
        <v>747</v>
      </c>
      <c r="C843" s="40" t="s">
        <v>1428</v>
      </c>
      <c r="D843" s="40" t="s">
        <v>96</v>
      </c>
      <c r="E843" s="40" t="s">
        <v>7</v>
      </c>
      <c r="F843" s="72">
        <v>1</v>
      </c>
    </row>
    <row r="844" spans="1:6">
      <c r="A844" s="40" t="s">
        <v>750</v>
      </c>
      <c r="B844" s="39" t="s">
        <v>747</v>
      </c>
      <c r="C844" s="40" t="s">
        <v>1429</v>
      </c>
      <c r="D844" s="40" t="s">
        <v>96</v>
      </c>
      <c r="E844" s="40" t="s">
        <v>7</v>
      </c>
      <c r="F844" s="72">
        <v>1</v>
      </c>
    </row>
    <row r="845" spans="1:6">
      <c r="A845" s="40" t="s">
        <v>750</v>
      </c>
      <c r="B845" s="39" t="s">
        <v>747</v>
      </c>
      <c r="C845" s="40" t="s">
        <v>1430</v>
      </c>
      <c r="D845" s="40" t="s">
        <v>96</v>
      </c>
      <c r="E845" s="40" t="s">
        <v>7</v>
      </c>
      <c r="F845" s="72">
        <v>1</v>
      </c>
    </row>
    <row r="846" spans="1:6">
      <c r="A846" s="40" t="s">
        <v>750</v>
      </c>
      <c r="B846" s="39" t="s">
        <v>747</v>
      </c>
      <c r="C846" s="40" t="s">
        <v>1431</v>
      </c>
      <c r="D846" s="40" t="s">
        <v>96</v>
      </c>
      <c r="E846" s="40" t="s">
        <v>7</v>
      </c>
      <c r="F846" s="72">
        <v>1</v>
      </c>
    </row>
    <row r="847" spans="1:6">
      <c r="A847" s="40" t="s">
        <v>750</v>
      </c>
      <c r="B847" s="39" t="s">
        <v>747</v>
      </c>
      <c r="C847" s="40" t="s">
        <v>1432</v>
      </c>
      <c r="D847" s="40" t="s">
        <v>96</v>
      </c>
      <c r="E847" s="40" t="s">
        <v>7</v>
      </c>
      <c r="F847" s="72">
        <v>1</v>
      </c>
    </row>
    <row r="848" spans="1:6">
      <c r="A848" s="40" t="s">
        <v>750</v>
      </c>
      <c r="B848" s="39" t="s">
        <v>747</v>
      </c>
      <c r="C848" s="40" t="s">
        <v>1433</v>
      </c>
      <c r="D848" s="40" t="s">
        <v>96</v>
      </c>
      <c r="E848" s="40" t="s">
        <v>7</v>
      </c>
      <c r="F848" s="72">
        <v>1</v>
      </c>
    </row>
    <row r="849" spans="1:6">
      <c r="A849" s="40" t="s">
        <v>750</v>
      </c>
      <c r="B849" s="39" t="s">
        <v>747</v>
      </c>
      <c r="C849" s="40" t="s">
        <v>1434</v>
      </c>
      <c r="D849" s="40" t="s">
        <v>96</v>
      </c>
      <c r="E849" s="40" t="s">
        <v>7</v>
      </c>
      <c r="F849" s="72">
        <v>1</v>
      </c>
    </row>
    <row r="850" spans="1:6">
      <c r="A850" s="40" t="s">
        <v>750</v>
      </c>
      <c r="B850" s="39" t="s">
        <v>747</v>
      </c>
      <c r="C850" s="40" t="s">
        <v>1435</v>
      </c>
      <c r="D850" s="40" t="s">
        <v>1391</v>
      </c>
      <c r="E850" s="40" t="s">
        <v>7</v>
      </c>
      <c r="F850" s="72">
        <v>1</v>
      </c>
    </row>
    <row r="851" spans="1:6">
      <c r="A851" s="40" t="s">
        <v>750</v>
      </c>
      <c r="B851" s="39" t="s">
        <v>747</v>
      </c>
      <c r="C851" s="40" t="s">
        <v>1436</v>
      </c>
      <c r="D851" s="40" t="s">
        <v>1391</v>
      </c>
      <c r="E851" s="40" t="s">
        <v>7</v>
      </c>
      <c r="F851" s="72">
        <v>1</v>
      </c>
    </row>
    <row r="852" spans="1:6">
      <c r="A852" s="40" t="s">
        <v>750</v>
      </c>
      <c r="B852" s="39" t="s">
        <v>747</v>
      </c>
      <c r="C852" s="40" t="s">
        <v>1437</v>
      </c>
      <c r="D852" s="40" t="s">
        <v>1391</v>
      </c>
      <c r="E852" s="40" t="s">
        <v>7</v>
      </c>
      <c r="F852" s="72">
        <v>1</v>
      </c>
    </row>
    <row r="853" spans="1:6">
      <c r="A853" s="40" t="s">
        <v>750</v>
      </c>
      <c r="B853" s="39" t="s">
        <v>747</v>
      </c>
      <c r="C853" s="40" t="s">
        <v>1438</v>
      </c>
      <c r="D853" s="40" t="s">
        <v>1391</v>
      </c>
      <c r="E853" s="40" t="s">
        <v>7</v>
      </c>
      <c r="F853" s="72">
        <v>1</v>
      </c>
    </row>
    <row r="854" spans="1:6">
      <c r="A854" s="40" t="s">
        <v>750</v>
      </c>
      <c r="B854" s="39" t="s">
        <v>747</v>
      </c>
      <c r="C854" s="40" t="s">
        <v>1439</v>
      </c>
      <c r="D854" s="40" t="s">
        <v>1391</v>
      </c>
      <c r="E854" s="40" t="s">
        <v>7</v>
      </c>
      <c r="F854" s="72">
        <v>1</v>
      </c>
    </row>
    <row r="855" spans="1:6">
      <c r="A855" s="40" t="s">
        <v>750</v>
      </c>
      <c r="B855" s="39" t="s">
        <v>747</v>
      </c>
      <c r="C855" s="40" t="s">
        <v>1440</v>
      </c>
      <c r="D855" s="40" t="s">
        <v>1391</v>
      </c>
      <c r="E855" s="40" t="s">
        <v>7</v>
      </c>
      <c r="F855" s="72">
        <v>1</v>
      </c>
    </row>
    <row r="856" spans="1:6">
      <c r="A856" s="40" t="s">
        <v>750</v>
      </c>
      <c r="B856" s="39" t="s">
        <v>747</v>
      </c>
      <c r="C856" s="40" t="s">
        <v>1441</v>
      </c>
      <c r="D856" s="40" t="s">
        <v>1391</v>
      </c>
      <c r="E856" s="40" t="s">
        <v>7</v>
      </c>
      <c r="F856" s="72">
        <v>1</v>
      </c>
    </row>
    <row r="857" spans="1:6">
      <c r="A857" s="40" t="s">
        <v>750</v>
      </c>
      <c r="B857" s="39" t="s">
        <v>747</v>
      </c>
      <c r="C857" s="40" t="s">
        <v>1442</v>
      </c>
      <c r="D857" s="40" t="s">
        <v>1391</v>
      </c>
      <c r="E857" s="40" t="s">
        <v>7</v>
      </c>
      <c r="F857" s="72">
        <v>1</v>
      </c>
    </row>
    <row r="858" spans="1:6">
      <c r="A858" s="40" t="s">
        <v>750</v>
      </c>
      <c r="B858" s="39" t="s">
        <v>747</v>
      </c>
      <c r="C858" s="40" t="s">
        <v>1443</v>
      </c>
      <c r="D858" s="40" t="s">
        <v>1391</v>
      </c>
      <c r="E858" s="40" t="s">
        <v>7</v>
      </c>
      <c r="F858" s="72">
        <v>1</v>
      </c>
    </row>
    <row r="859" spans="1:6">
      <c r="A859" s="40" t="s">
        <v>750</v>
      </c>
      <c r="B859" s="39" t="s">
        <v>747</v>
      </c>
      <c r="C859" s="40" t="s">
        <v>1444</v>
      </c>
      <c r="D859" s="40" t="s">
        <v>1391</v>
      </c>
      <c r="E859" s="40" t="s">
        <v>7</v>
      </c>
      <c r="F859" s="72">
        <v>1</v>
      </c>
    </row>
    <row r="860" spans="1:6">
      <c r="A860" s="40" t="s">
        <v>750</v>
      </c>
      <c r="B860" s="39" t="s">
        <v>747</v>
      </c>
      <c r="C860" s="40" t="s">
        <v>1445</v>
      </c>
      <c r="D860" s="40" t="s">
        <v>1391</v>
      </c>
      <c r="E860" s="40" t="s">
        <v>7</v>
      </c>
      <c r="F860" s="72">
        <v>1</v>
      </c>
    </row>
    <row r="861" spans="1:6">
      <c r="A861" s="40" t="s">
        <v>750</v>
      </c>
      <c r="B861" s="39" t="s">
        <v>747</v>
      </c>
      <c r="C861" s="40" t="s">
        <v>1446</v>
      </c>
      <c r="D861" s="40" t="s">
        <v>1391</v>
      </c>
      <c r="E861" s="40" t="s">
        <v>7</v>
      </c>
      <c r="F861" s="72">
        <v>1</v>
      </c>
    </row>
    <row r="862" spans="1:6">
      <c r="A862" s="40" t="s">
        <v>750</v>
      </c>
      <c r="B862" s="39" t="s">
        <v>747</v>
      </c>
      <c r="C862" s="40" t="s">
        <v>1447</v>
      </c>
      <c r="D862" s="40" t="s">
        <v>108</v>
      </c>
      <c r="E862" s="40" t="s">
        <v>7</v>
      </c>
      <c r="F862" s="72">
        <v>1</v>
      </c>
    </row>
    <row r="863" spans="1:6">
      <c r="A863" s="40" t="s">
        <v>750</v>
      </c>
      <c r="B863" s="39" t="s">
        <v>747</v>
      </c>
      <c r="C863" s="40" t="s">
        <v>1448</v>
      </c>
      <c r="D863" s="40" t="s">
        <v>1449</v>
      </c>
      <c r="E863" s="40" t="s">
        <v>7</v>
      </c>
      <c r="F863" s="72">
        <v>1</v>
      </c>
    </row>
    <row r="864" spans="1:6">
      <c r="A864" s="40" t="s">
        <v>750</v>
      </c>
      <c r="B864" s="39" t="s">
        <v>747</v>
      </c>
      <c r="C864" s="40" t="s">
        <v>1450</v>
      </c>
      <c r="D864" s="40" t="s">
        <v>1449</v>
      </c>
      <c r="E864" s="40" t="s">
        <v>7</v>
      </c>
      <c r="F864" s="72">
        <v>1</v>
      </c>
    </row>
    <row r="865" spans="1:6">
      <c r="A865" s="40" t="s">
        <v>750</v>
      </c>
      <c r="B865" s="39" t="s">
        <v>747</v>
      </c>
      <c r="C865" s="40" t="s">
        <v>1451</v>
      </c>
      <c r="D865" s="40" t="s">
        <v>1449</v>
      </c>
      <c r="E865" s="40" t="s">
        <v>7</v>
      </c>
      <c r="F865" s="72">
        <v>1</v>
      </c>
    </row>
    <row r="866" spans="1:6">
      <c r="A866" s="40" t="s">
        <v>750</v>
      </c>
      <c r="B866" s="39" t="s">
        <v>747</v>
      </c>
      <c r="C866" s="40" t="s">
        <v>1452</v>
      </c>
      <c r="D866" s="40" t="s">
        <v>1449</v>
      </c>
      <c r="E866" s="40" t="s">
        <v>7</v>
      </c>
      <c r="F866" s="72">
        <v>1</v>
      </c>
    </row>
    <row r="867" spans="1:6">
      <c r="A867" s="40" t="s">
        <v>750</v>
      </c>
      <c r="B867" s="39" t="s">
        <v>747</v>
      </c>
      <c r="C867" s="40" t="s">
        <v>1453</v>
      </c>
      <c r="D867" s="40" t="s">
        <v>1449</v>
      </c>
      <c r="E867" s="40" t="s">
        <v>7</v>
      </c>
      <c r="F867" s="72">
        <v>1</v>
      </c>
    </row>
    <row r="868" spans="1:6">
      <c r="A868" s="40" t="s">
        <v>750</v>
      </c>
      <c r="B868" s="39" t="s">
        <v>747</v>
      </c>
      <c r="C868" s="40" t="s">
        <v>1454</v>
      </c>
      <c r="D868" s="40" t="s">
        <v>1449</v>
      </c>
      <c r="E868" s="40" t="s">
        <v>7</v>
      </c>
      <c r="F868" s="72">
        <v>1</v>
      </c>
    </row>
    <row r="869" spans="1:6">
      <c r="A869" s="40" t="s">
        <v>750</v>
      </c>
      <c r="B869" s="39" t="s">
        <v>747</v>
      </c>
      <c r="C869" s="40" t="s">
        <v>1455</v>
      </c>
      <c r="D869" s="40" t="s">
        <v>1449</v>
      </c>
      <c r="E869" s="40" t="s">
        <v>7</v>
      </c>
      <c r="F869" s="72">
        <v>1</v>
      </c>
    </row>
    <row r="870" spans="1:6">
      <c r="A870" s="40" t="s">
        <v>750</v>
      </c>
      <c r="B870" s="39" t="s">
        <v>747</v>
      </c>
      <c r="C870" s="40" t="s">
        <v>1456</v>
      </c>
      <c r="D870" s="40" t="s">
        <v>1449</v>
      </c>
      <c r="E870" s="40" t="s">
        <v>7</v>
      </c>
      <c r="F870" s="72">
        <v>1</v>
      </c>
    </row>
    <row r="871" spans="1:6">
      <c r="A871" s="40" t="s">
        <v>750</v>
      </c>
      <c r="B871" s="39" t="s">
        <v>747</v>
      </c>
      <c r="C871" s="40" t="s">
        <v>1457</v>
      </c>
      <c r="D871" s="40" t="s">
        <v>1449</v>
      </c>
      <c r="E871" s="40" t="s">
        <v>7</v>
      </c>
      <c r="F871" s="72">
        <v>1</v>
      </c>
    </row>
    <row r="872" spans="1:6">
      <c r="A872" s="40" t="s">
        <v>750</v>
      </c>
      <c r="B872" s="39" t="s">
        <v>747</v>
      </c>
      <c r="C872" s="40" t="s">
        <v>1458</v>
      </c>
      <c r="D872" s="40" t="s">
        <v>1449</v>
      </c>
      <c r="E872" s="40" t="s">
        <v>7</v>
      </c>
      <c r="F872" s="72">
        <v>1</v>
      </c>
    </row>
    <row r="873" spans="1:6">
      <c r="A873" s="40" t="s">
        <v>750</v>
      </c>
      <c r="B873" s="39" t="s">
        <v>747</v>
      </c>
      <c r="C873" s="40" t="s">
        <v>1459</v>
      </c>
      <c r="D873" s="40" t="s">
        <v>1449</v>
      </c>
      <c r="E873" s="40" t="s">
        <v>7</v>
      </c>
      <c r="F873" s="72">
        <v>1</v>
      </c>
    </row>
    <row r="874" spans="1:6">
      <c r="A874" s="40" t="s">
        <v>750</v>
      </c>
      <c r="B874" s="39" t="s">
        <v>747</v>
      </c>
      <c r="C874" s="40" t="s">
        <v>1460</v>
      </c>
      <c r="D874" s="40" t="s">
        <v>1449</v>
      </c>
      <c r="E874" s="40" t="s">
        <v>7</v>
      </c>
      <c r="F874" s="72">
        <v>1</v>
      </c>
    </row>
    <row r="875" spans="1:6">
      <c r="A875" s="40" t="s">
        <v>750</v>
      </c>
      <c r="B875" s="39" t="s">
        <v>747</v>
      </c>
      <c r="C875" s="40" t="s">
        <v>1461</v>
      </c>
      <c r="D875" s="40" t="s">
        <v>1449</v>
      </c>
      <c r="E875" s="40" t="s">
        <v>7</v>
      </c>
      <c r="F875" s="72">
        <v>1</v>
      </c>
    </row>
    <row r="876" spans="1:6">
      <c r="A876" s="40" t="s">
        <v>750</v>
      </c>
      <c r="B876" s="39" t="s">
        <v>747</v>
      </c>
      <c r="C876" s="40" t="s">
        <v>1462</v>
      </c>
      <c r="D876" s="40" t="s">
        <v>1449</v>
      </c>
      <c r="E876" s="40" t="s">
        <v>7</v>
      </c>
      <c r="F876" s="72">
        <v>1</v>
      </c>
    </row>
    <row r="877" spans="1:6">
      <c r="A877" s="40" t="s">
        <v>750</v>
      </c>
      <c r="B877" s="39" t="s">
        <v>747</v>
      </c>
      <c r="C877" s="40" t="s">
        <v>1463</v>
      </c>
      <c r="D877" s="40" t="s">
        <v>1449</v>
      </c>
      <c r="E877" s="40" t="s">
        <v>7</v>
      </c>
      <c r="F877" s="72">
        <v>1</v>
      </c>
    </row>
    <row r="878" spans="1:6">
      <c r="A878" s="40" t="s">
        <v>750</v>
      </c>
      <c r="B878" s="39" t="s">
        <v>747</v>
      </c>
      <c r="C878" s="40" t="s">
        <v>1464</v>
      </c>
      <c r="D878" s="40" t="s">
        <v>1449</v>
      </c>
      <c r="E878" s="40" t="s">
        <v>7</v>
      </c>
      <c r="F878" s="72">
        <v>1</v>
      </c>
    </row>
    <row r="879" spans="1:6">
      <c r="A879" s="40" t="s">
        <v>750</v>
      </c>
      <c r="B879" s="39" t="s">
        <v>747</v>
      </c>
      <c r="C879" s="40" t="s">
        <v>1465</v>
      </c>
      <c r="D879" s="40" t="s">
        <v>1449</v>
      </c>
      <c r="E879" s="40" t="s">
        <v>7</v>
      </c>
      <c r="F879" s="72">
        <v>1</v>
      </c>
    </row>
    <row r="880" spans="1:6">
      <c r="A880" s="40" t="s">
        <v>750</v>
      </c>
      <c r="B880" s="39" t="s">
        <v>747</v>
      </c>
      <c r="C880" s="40" t="s">
        <v>1466</v>
      </c>
      <c r="D880" s="40" t="s">
        <v>1449</v>
      </c>
      <c r="E880" s="40" t="s">
        <v>7</v>
      </c>
      <c r="F880" s="72">
        <v>1</v>
      </c>
    </row>
    <row r="881" spans="1:6">
      <c r="A881" s="40" t="s">
        <v>750</v>
      </c>
      <c r="B881" s="39" t="s">
        <v>747</v>
      </c>
      <c r="C881" s="40" t="s">
        <v>1467</v>
      </c>
      <c r="D881" s="40" t="s">
        <v>1449</v>
      </c>
      <c r="E881" s="40" t="s">
        <v>7</v>
      </c>
      <c r="F881" s="72">
        <v>1</v>
      </c>
    </row>
    <row r="882" spans="1:6">
      <c r="A882" s="40" t="s">
        <v>750</v>
      </c>
      <c r="B882" s="39" t="s">
        <v>747</v>
      </c>
      <c r="C882" s="40" t="s">
        <v>1468</v>
      </c>
      <c r="D882" s="40" t="s">
        <v>1449</v>
      </c>
      <c r="E882" s="40" t="s">
        <v>7</v>
      </c>
      <c r="F882" s="72">
        <v>1</v>
      </c>
    </row>
    <row r="883" spans="1:6">
      <c r="A883" s="40" t="s">
        <v>750</v>
      </c>
      <c r="B883" s="39" t="s">
        <v>747</v>
      </c>
      <c r="C883" s="40" t="s">
        <v>1469</v>
      </c>
      <c r="D883" s="40" t="s">
        <v>1449</v>
      </c>
      <c r="E883" s="40" t="s">
        <v>7</v>
      </c>
      <c r="F883" s="72">
        <v>1</v>
      </c>
    </row>
    <row r="884" spans="1:6">
      <c r="A884" s="40" t="s">
        <v>750</v>
      </c>
      <c r="B884" s="39" t="s">
        <v>747</v>
      </c>
      <c r="C884" s="40" t="s">
        <v>1470</v>
      </c>
      <c r="D884" s="40" t="s">
        <v>1449</v>
      </c>
      <c r="E884" s="40" t="s">
        <v>7</v>
      </c>
      <c r="F884" s="72">
        <v>1</v>
      </c>
    </row>
    <row r="885" spans="1:6">
      <c r="A885" s="40" t="s">
        <v>750</v>
      </c>
      <c r="B885" s="39" t="s">
        <v>747</v>
      </c>
      <c r="C885" s="40" t="s">
        <v>1471</v>
      </c>
      <c r="D885" s="40" t="s">
        <v>1449</v>
      </c>
      <c r="E885" s="40" t="s">
        <v>7</v>
      </c>
      <c r="F885" s="72">
        <v>1</v>
      </c>
    </row>
    <row r="886" spans="1:6">
      <c r="A886" s="40" t="s">
        <v>750</v>
      </c>
      <c r="B886" s="39" t="s">
        <v>747</v>
      </c>
      <c r="C886" s="40" t="s">
        <v>1472</v>
      </c>
      <c r="D886" s="40" t="s">
        <v>1449</v>
      </c>
      <c r="E886" s="40" t="s">
        <v>7</v>
      </c>
      <c r="F886" s="72">
        <v>1</v>
      </c>
    </row>
    <row r="887" spans="1:6">
      <c r="A887" s="40" t="s">
        <v>750</v>
      </c>
      <c r="B887" s="39" t="s">
        <v>747</v>
      </c>
      <c r="C887" s="40" t="s">
        <v>1473</v>
      </c>
      <c r="D887" s="40" t="s">
        <v>1449</v>
      </c>
      <c r="E887" s="40" t="s">
        <v>7</v>
      </c>
      <c r="F887" s="72">
        <v>1</v>
      </c>
    </row>
    <row r="888" spans="1:6">
      <c r="A888" s="40" t="s">
        <v>750</v>
      </c>
      <c r="B888" s="39" t="s">
        <v>747</v>
      </c>
      <c r="C888" s="40" t="s">
        <v>1474</v>
      </c>
      <c r="D888" s="40" t="s">
        <v>1475</v>
      </c>
      <c r="E888" s="40" t="s">
        <v>7</v>
      </c>
      <c r="F888" s="72">
        <v>1</v>
      </c>
    </row>
    <row r="889" spans="1:6">
      <c r="A889" s="40" t="s">
        <v>750</v>
      </c>
      <c r="B889" s="39" t="s">
        <v>747</v>
      </c>
      <c r="C889" s="40" t="s">
        <v>1476</v>
      </c>
      <c r="D889" s="40" t="s">
        <v>1475</v>
      </c>
      <c r="E889" s="40" t="s">
        <v>7</v>
      </c>
      <c r="F889" s="72">
        <v>1</v>
      </c>
    </row>
    <row r="890" spans="1:6">
      <c r="A890" s="40" t="s">
        <v>750</v>
      </c>
      <c r="B890" s="39" t="s">
        <v>747</v>
      </c>
      <c r="C890" s="40" t="s">
        <v>1477</v>
      </c>
      <c r="D890" s="40" t="s">
        <v>1475</v>
      </c>
      <c r="E890" s="40" t="s">
        <v>7</v>
      </c>
      <c r="F890" s="72">
        <v>1</v>
      </c>
    </row>
    <row r="891" spans="1:6">
      <c r="A891" s="40" t="s">
        <v>750</v>
      </c>
      <c r="B891" s="39" t="s">
        <v>747</v>
      </c>
      <c r="C891" s="40" t="s">
        <v>1478</v>
      </c>
      <c r="D891" s="40" t="s">
        <v>1475</v>
      </c>
      <c r="E891" s="40" t="s">
        <v>7</v>
      </c>
      <c r="F891" s="72">
        <v>1</v>
      </c>
    </row>
    <row r="892" spans="1:6">
      <c r="A892" s="40" t="s">
        <v>750</v>
      </c>
      <c r="B892" s="39" t="s">
        <v>747</v>
      </c>
      <c r="C892" s="40" t="s">
        <v>1479</v>
      </c>
      <c r="D892" s="40" t="s">
        <v>1475</v>
      </c>
      <c r="E892" s="40" t="s">
        <v>7</v>
      </c>
      <c r="F892" s="72">
        <v>1</v>
      </c>
    </row>
    <row r="893" spans="1:6">
      <c r="A893" s="40" t="s">
        <v>750</v>
      </c>
      <c r="B893" s="39" t="s">
        <v>747</v>
      </c>
      <c r="C893" s="40" t="s">
        <v>1480</v>
      </c>
      <c r="D893" s="40" t="s">
        <v>1475</v>
      </c>
      <c r="E893" s="40" t="s">
        <v>7</v>
      </c>
      <c r="F893" s="72">
        <v>1</v>
      </c>
    </row>
    <row r="894" spans="1:6">
      <c r="A894" s="40" t="s">
        <v>750</v>
      </c>
      <c r="B894" s="39" t="s">
        <v>747</v>
      </c>
      <c r="C894" s="40" t="s">
        <v>1481</v>
      </c>
      <c r="D894" s="40" t="s">
        <v>1475</v>
      </c>
      <c r="E894" s="40" t="s">
        <v>7</v>
      </c>
      <c r="F894" s="72">
        <v>1</v>
      </c>
    </row>
    <row r="895" spans="1:6">
      <c r="A895" s="40" t="s">
        <v>750</v>
      </c>
      <c r="B895" s="39" t="s">
        <v>747</v>
      </c>
      <c r="C895" s="40" t="s">
        <v>1482</v>
      </c>
      <c r="D895" s="40" t="s">
        <v>1475</v>
      </c>
      <c r="E895" s="40" t="s">
        <v>7</v>
      </c>
      <c r="F895" s="72">
        <v>1</v>
      </c>
    </row>
    <row r="896" spans="1:6">
      <c r="A896" s="40" t="s">
        <v>750</v>
      </c>
      <c r="B896" s="39" t="s">
        <v>747</v>
      </c>
      <c r="C896" s="40" t="s">
        <v>1483</v>
      </c>
      <c r="D896" s="40" t="s">
        <v>1475</v>
      </c>
      <c r="E896" s="40" t="s">
        <v>7</v>
      </c>
      <c r="F896" s="72">
        <v>1</v>
      </c>
    </row>
    <row r="897" spans="1:6">
      <c r="A897" s="40" t="s">
        <v>750</v>
      </c>
      <c r="B897" s="39" t="s">
        <v>747</v>
      </c>
      <c r="C897" s="40" t="s">
        <v>1484</v>
      </c>
      <c r="D897" s="40" t="s">
        <v>1475</v>
      </c>
      <c r="E897" s="40" t="s">
        <v>7</v>
      </c>
      <c r="F897" s="72">
        <v>1</v>
      </c>
    </row>
    <row r="898" spans="1:6">
      <c r="A898" s="40" t="s">
        <v>750</v>
      </c>
      <c r="B898" s="39" t="s">
        <v>747</v>
      </c>
      <c r="C898" s="40" t="s">
        <v>1485</v>
      </c>
      <c r="D898" s="40" t="s">
        <v>1475</v>
      </c>
      <c r="E898" s="40" t="s">
        <v>7</v>
      </c>
      <c r="F898" s="72">
        <v>1</v>
      </c>
    </row>
    <row r="899" spans="1:6">
      <c r="A899" s="40" t="s">
        <v>750</v>
      </c>
      <c r="B899" s="39" t="s">
        <v>747</v>
      </c>
      <c r="C899" s="40" t="s">
        <v>1486</v>
      </c>
      <c r="D899" s="40" t="s">
        <v>1475</v>
      </c>
      <c r="E899" s="40" t="s">
        <v>7</v>
      </c>
      <c r="F899" s="72">
        <v>1</v>
      </c>
    </row>
    <row r="900" spans="1:6">
      <c r="A900" s="40" t="s">
        <v>750</v>
      </c>
      <c r="B900" s="39" t="s">
        <v>747</v>
      </c>
      <c r="C900" s="40" t="s">
        <v>1487</v>
      </c>
      <c r="D900" s="40" t="s">
        <v>1475</v>
      </c>
      <c r="E900" s="40" t="s">
        <v>7</v>
      </c>
      <c r="F900" s="72">
        <v>1</v>
      </c>
    </row>
    <row r="901" spans="1:6">
      <c r="A901" s="40" t="s">
        <v>750</v>
      </c>
      <c r="B901" s="39" t="s">
        <v>747</v>
      </c>
      <c r="C901" s="40" t="s">
        <v>1488</v>
      </c>
      <c r="D901" s="40" t="s">
        <v>1475</v>
      </c>
      <c r="E901" s="40" t="s">
        <v>7</v>
      </c>
      <c r="F901" s="72">
        <v>1</v>
      </c>
    </row>
    <row r="902" spans="1:6">
      <c r="A902" s="40" t="s">
        <v>750</v>
      </c>
      <c r="B902" s="39" t="s">
        <v>747</v>
      </c>
      <c r="C902" s="40" t="s">
        <v>1489</v>
      </c>
      <c r="D902" s="40" t="s">
        <v>1475</v>
      </c>
      <c r="E902" s="40" t="s">
        <v>7</v>
      </c>
      <c r="F902" s="72">
        <v>1</v>
      </c>
    </row>
    <row r="903" spans="1:6">
      <c r="A903" s="40" t="s">
        <v>750</v>
      </c>
      <c r="B903" s="39" t="s">
        <v>747</v>
      </c>
      <c r="C903" s="40" t="s">
        <v>1490</v>
      </c>
      <c r="D903" s="40" t="s">
        <v>1475</v>
      </c>
      <c r="E903" s="40" t="s">
        <v>7</v>
      </c>
      <c r="F903" s="72">
        <v>1</v>
      </c>
    </row>
    <row r="904" spans="1:6">
      <c r="A904" s="40" t="s">
        <v>750</v>
      </c>
      <c r="B904" s="39" t="s">
        <v>747</v>
      </c>
      <c r="C904" s="40" t="s">
        <v>1491</v>
      </c>
      <c r="D904" s="40" t="s">
        <v>1475</v>
      </c>
      <c r="E904" s="40" t="s">
        <v>7</v>
      </c>
      <c r="F904" s="72">
        <v>1</v>
      </c>
    </row>
    <row r="905" spans="1:6">
      <c r="A905" s="40" t="s">
        <v>750</v>
      </c>
      <c r="B905" s="39" t="s">
        <v>747</v>
      </c>
      <c r="C905" s="40" t="s">
        <v>1492</v>
      </c>
      <c r="D905" s="40" t="s">
        <v>1475</v>
      </c>
      <c r="E905" s="40" t="s">
        <v>7</v>
      </c>
      <c r="F905" s="72">
        <v>1</v>
      </c>
    </row>
    <row r="906" spans="1:6">
      <c r="A906" s="40" t="s">
        <v>750</v>
      </c>
      <c r="B906" s="39" t="s">
        <v>747</v>
      </c>
      <c r="C906" s="40" t="s">
        <v>1493</v>
      </c>
      <c r="D906" s="40" t="s">
        <v>1475</v>
      </c>
      <c r="E906" s="40" t="s">
        <v>7</v>
      </c>
      <c r="F906" s="72">
        <v>1</v>
      </c>
    </row>
    <row r="907" spans="1:6">
      <c r="A907" s="40" t="s">
        <v>750</v>
      </c>
      <c r="B907" s="39" t="s">
        <v>747</v>
      </c>
      <c r="C907" s="40" t="s">
        <v>1494</v>
      </c>
      <c r="D907" s="40" t="s">
        <v>1475</v>
      </c>
      <c r="E907" s="40" t="s">
        <v>7</v>
      </c>
      <c r="F907" s="72">
        <v>1</v>
      </c>
    </row>
    <row r="908" spans="1:6">
      <c r="A908" s="40" t="s">
        <v>750</v>
      </c>
      <c r="B908" s="39" t="s">
        <v>747</v>
      </c>
      <c r="C908" s="40" t="s">
        <v>1495</v>
      </c>
      <c r="D908" s="40" t="s">
        <v>1475</v>
      </c>
      <c r="E908" s="40" t="s">
        <v>7</v>
      </c>
      <c r="F908" s="72">
        <v>1</v>
      </c>
    </row>
    <row r="909" spans="1:6">
      <c r="A909" s="40" t="s">
        <v>750</v>
      </c>
      <c r="B909" s="39" t="s">
        <v>747</v>
      </c>
      <c r="C909" s="40" t="s">
        <v>1496</v>
      </c>
      <c r="D909" s="40" t="s">
        <v>1475</v>
      </c>
      <c r="E909" s="40" t="s">
        <v>7</v>
      </c>
      <c r="F909" s="72">
        <v>1</v>
      </c>
    </row>
    <row r="910" spans="1:6">
      <c r="A910" s="40" t="s">
        <v>750</v>
      </c>
      <c r="B910" s="39" t="s">
        <v>747</v>
      </c>
      <c r="C910" s="40" t="s">
        <v>1497</v>
      </c>
      <c r="D910" s="40" t="s">
        <v>1475</v>
      </c>
      <c r="E910" s="40" t="s">
        <v>7</v>
      </c>
      <c r="F910" s="72">
        <v>1</v>
      </c>
    </row>
    <row r="911" spans="1:6">
      <c r="A911" s="40" t="s">
        <v>750</v>
      </c>
      <c r="B911" s="39" t="s">
        <v>747</v>
      </c>
      <c r="C911" s="40" t="s">
        <v>1498</v>
      </c>
      <c r="D911" s="40" t="s">
        <v>1475</v>
      </c>
      <c r="E911" s="40" t="s">
        <v>7</v>
      </c>
      <c r="F911" s="72">
        <v>1</v>
      </c>
    </row>
    <row r="912" spans="1:6">
      <c r="A912" s="40" t="s">
        <v>750</v>
      </c>
      <c r="B912" s="39" t="s">
        <v>747</v>
      </c>
      <c r="C912" s="40" t="s">
        <v>1499</v>
      </c>
      <c r="D912" s="40" t="s">
        <v>918</v>
      </c>
      <c r="E912" s="40" t="s">
        <v>7</v>
      </c>
      <c r="F912" s="72">
        <v>1</v>
      </c>
    </row>
    <row r="913" spans="1:6">
      <c r="A913" s="40" t="s">
        <v>750</v>
      </c>
      <c r="B913" s="39" t="s">
        <v>747</v>
      </c>
      <c r="C913" s="40" t="s">
        <v>1500</v>
      </c>
      <c r="D913" s="40" t="s">
        <v>918</v>
      </c>
      <c r="E913" s="40" t="s">
        <v>7</v>
      </c>
      <c r="F913" s="72">
        <v>1</v>
      </c>
    </row>
    <row r="914" spans="1:6">
      <c r="A914" s="40" t="s">
        <v>750</v>
      </c>
      <c r="B914" s="39" t="s">
        <v>747</v>
      </c>
      <c r="C914" s="40" t="s">
        <v>1501</v>
      </c>
      <c r="D914" s="40" t="s">
        <v>918</v>
      </c>
      <c r="E914" s="40" t="s">
        <v>7</v>
      </c>
      <c r="F914" s="72">
        <v>1</v>
      </c>
    </row>
    <row r="915" spans="1:6">
      <c r="A915" s="40" t="s">
        <v>750</v>
      </c>
      <c r="B915" s="39" t="s">
        <v>747</v>
      </c>
      <c r="C915" s="40" t="s">
        <v>1502</v>
      </c>
      <c r="D915" s="40" t="s">
        <v>918</v>
      </c>
      <c r="E915" s="40" t="s">
        <v>7</v>
      </c>
      <c r="F915" s="72">
        <v>1</v>
      </c>
    </row>
    <row r="916" spans="1:6">
      <c r="A916" s="40" t="s">
        <v>750</v>
      </c>
      <c r="B916" s="39" t="s">
        <v>747</v>
      </c>
      <c r="C916" s="40" t="s">
        <v>1503</v>
      </c>
      <c r="D916" s="40" t="s">
        <v>918</v>
      </c>
      <c r="E916" s="40" t="s">
        <v>7</v>
      </c>
      <c r="F916" s="72">
        <v>1</v>
      </c>
    </row>
    <row r="917" spans="1:6">
      <c r="A917" s="40" t="s">
        <v>750</v>
      </c>
      <c r="B917" s="39" t="s">
        <v>747</v>
      </c>
      <c r="C917" s="40" t="s">
        <v>1504</v>
      </c>
      <c r="D917" s="40" t="s">
        <v>918</v>
      </c>
      <c r="E917" s="40" t="s">
        <v>7</v>
      </c>
      <c r="F917" s="72">
        <v>1</v>
      </c>
    </row>
    <row r="918" spans="1:6">
      <c r="A918" s="40" t="s">
        <v>750</v>
      </c>
      <c r="B918" s="39" t="s">
        <v>747</v>
      </c>
      <c r="C918" s="40" t="s">
        <v>1505</v>
      </c>
      <c r="D918" s="40" t="s">
        <v>918</v>
      </c>
      <c r="E918" s="40" t="s">
        <v>7</v>
      </c>
      <c r="F918" s="72">
        <v>1</v>
      </c>
    </row>
    <row r="919" spans="1:6">
      <c r="A919" s="40" t="s">
        <v>750</v>
      </c>
      <c r="B919" s="39" t="s">
        <v>747</v>
      </c>
      <c r="C919" s="40" t="s">
        <v>1506</v>
      </c>
      <c r="D919" s="40" t="s">
        <v>918</v>
      </c>
      <c r="E919" s="40" t="s">
        <v>7</v>
      </c>
      <c r="F919" s="72">
        <v>1</v>
      </c>
    </row>
    <row r="920" spans="1:6">
      <c r="A920" s="40" t="s">
        <v>750</v>
      </c>
      <c r="B920" s="39" t="s">
        <v>747</v>
      </c>
      <c r="C920" s="40" t="s">
        <v>1507</v>
      </c>
      <c r="D920" s="40" t="s">
        <v>918</v>
      </c>
      <c r="E920" s="40" t="s">
        <v>7</v>
      </c>
      <c r="F920" s="72">
        <v>1</v>
      </c>
    </row>
    <row r="921" spans="1:6">
      <c r="A921" s="40" t="s">
        <v>750</v>
      </c>
      <c r="B921" s="39" t="s">
        <v>747</v>
      </c>
      <c r="C921" s="40" t="s">
        <v>1508</v>
      </c>
      <c r="D921" s="40" t="s">
        <v>918</v>
      </c>
      <c r="E921" s="40" t="s">
        <v>7</v>
      </c>
      <c r="F921" s="72">
        <v>1</v>
      </c>
    </row>
    <row r="922" spans="1:6">
      <c r="A922" s="40" t="s">
        <v>750</v>
      </c>
      <c r="B922" s="39" t="s">
        <v>747</v>
      </c>
      <c r="C922" s="40" t="s">
        <v>1509</v>
      </c>
      <c r="D922" s="40" t="s">
        <v>918</v>
      </c>
      <c r="E922" s="40" t="s">
        <v>7</v>
      </c>
      <c r="F922" s="72">
        <v>1</v>
      </c>
    </row>
    <row r="923" spans="1:6">
      <c r="A923" s="40" t="s">
        <v>750</v>
      </c>
      <c r="B923" s="39" t="s">
        <v>747</v>
      </c>
      <c r="C923" s="40" t="s">
        <v>1510</v>
      </c>
      <c r="D923" s="40" t="s">
        <v>918</v>
      </c>
      <c r="E923" s="40" t="s">
        <v>7</v>
      </c>
      <c r="F923" s="72">
        <v>1</v>
      </c>
    </row>
    <row r="924" spans="1:6">
      <c r="A924" s="40" t="s">
        <v>750</v>
      </c>
      <c r="B924" s="39" t="s">
        <v>747</v>
      </c>
      <c r="C924" s="40" t="s">
        <v>1511</v>
      </c>
      <c r="D924" s="40" t="s">
        <v>918</v>
      </c>
      <c r="E924" s="40" t="s">
        <v>7</v>
      </c>
      <c r="F924" s="72">
        <v>1</v>
      </c>
    </row>
    <row r="925" spans="1:6">
      <c r="A925" s="40" t="s">
        <v>750</v>
      </c>
      <c r="B925" s="39" t="s">
        <v>747</v>
      </c>
      <c r="C925" s="40" t="s">
        <v>1512</v>
      </c>
      <c r="D925" s="40" t="s">
        <v>918</v>
      </c>
      <c r="E925" s="40" t="s">
        <v>7</v>
      </c>
      <c r="F925" s="72">
        <v>1</v>
      </c>
    </row>
    <row r="926" spans="1:6">
      <c r="A926" s="40" t="s">
        <v>750</v>
      </c>
      <c r="B926" s="39" t="s">
        <v>747</v>
      </c>
      <c r="C926" s="40" t="s">
        <v>1513</v>
      </c>
      <c r="D926" s="40" t="s">
        <v>918</v>
      </c>
      <c r="E926" s="40" t="s">
        <v>7</v>
      </c>
      <c r="F926" s="72">
        <v>1</v>
      </c>
    </row>
    <row r="927" spans="1:6">
      <c r="A927" s="40" t="s">
        <v>750</v>
      </c>
      <c r="B927" s="39" t="s">
        <v>747</v>
      </c>
      <c r="C927" s="40" t="s">
        <v>1514</v>
      </c>
      <c r="D927" s="40" t="s">
        <v>918</v>
      </c>
      <c r="E927" s="40" t="s">
        <v>7</v>
      </c>
      <c r="F927" s="72">
        <v>1</v>
      </c>
    </row>
    <row r="928" spans="1:6">
      <c r="A928" s="40" t="s">
        <v>750</v>
      </c>
      <c r="B928" s="39" t="s">
        <v>747</v>
      </c>
      <c r="C928" s="40" t="s">
        <v>1515</v>
      </c>
      <c r="D928" s="40" t="s">
        <v>918</v>
      </c>
      <c r="E928" s="40" t="s">
        <v>7</v>
      </c>
      <c r="F928" s="72">
        <v>1</v>
      </c>
    </row>
    <row r="929" spans="1:6">
      <c r="A929" s="40" t="s">
        <v>750</v>
      </c>
      <c r="B929" s="39" t="s">
        <v>747</v>
      </c>
      <c r="C929" s="40" t="s">
        <v>1516</v>
      </c>
      <c r="D929" s="40" t="s">
        <v>918</v>
      </c>
      <c r="E929" s="40" t="s">
        <v>7</v>
      </c>
      <c r="F929" s="72">
        <v>1</v>
      </c>
    </row>
    <row r="930" spans="1:6">
      <c r="A930" s="40" t="s">
        <v>750</v>
      </c>
      <c r="B930" s="39" t="s">
        <v>747</v>
      </c>
      <c r="C930" s="40" t="s">
        <v>1517</v>
      </c>
      <c r="D930" s="40" t="s">
        <v>918</v>
      </c>
      <c r="E930" s="40" t="s">
        <v>7</v>
      </c>
      <c r="F930" s="72">
        <v>1</v>
      </c>
    </row>
    <row r="931" spans="1:6">
      <c r="A931" s="40" t="s">
        <v>750</v>
      </c>
      <c r="B931" s="39" t="s">
        <v>747</v>
      </c>
      <c r="C931" s="40" t="s">
        <v>1518</v>
      </c>
      <c r="D931" s="40" t="s">
        <v>918</v>
      </c>
      <c r="E931" s="40" t="s">
        <v>7</v>
      </c>
      <c r="F931" s="72">
        <v>1</v>
      </c>
    </row>
    <row r="932" spans="1:6">
      <c r="A932" s="40" t="s">
        <v>750</v>
      </c>
      <c r="B932" s="39" t="s">
        <v>747</v>
      </c>
      <c r="C932" s="40" t="s">
        <v>1519</v>
      </c>
      <c r="D932" s="40" t="s">
        <v>918</v>
      </c>
      <c r="E932" s="40" t="s">
        <v>7</v>
      </c>
      <c r="F932" s="72">
        <v>1</v>
      </c>
    </row>
    <row r="933" spans="1:6">
      <c r="A933" s="40" t="s">
        <v>750</v>
      </c>
      <c r="B933" s="39" t="s">
        <v>747</v>
      </c>
      <c r="C933" s="40" t="s">
        <v>1520</v>
      </c>
      <c r="D933" s="40" t="s">
        <v>918</v>
      </c>
      <c r="E933" s="40" t="s">
        <v>7</v>
      </c>
      <c r="F933" s="72">
        <v>1</v>
      </c>
    </row>
    <row r="934" spans="1:6">
      <c r="A934" s="40" t="s">
        <v>750</v>
      </c>
      <c r="B934" s="39" t="s">
        <v>747</v>
      </c>
      <c r="C934" s="40" t="s">
        <v>1521</v>
      </c>
      <c r="D934" s="40" t="s">
        <v>918</v>
      </c>
      <c r="E934" s="40" t="s">
        <v>7</v>
      </c>
      <c r="F934" s="72">
        <v>1</v>
      </c>
    </row>
    <row r="935" spans="1:6">
      <c r="A935" s="40" t="s">
        <v>750</v>
      </c>
      <c r="B935" s="39" t="s">
        <v>747</v>
      </c>
      <c r="C935" s="40" t="s">
        <v>1522</v>
      </c>
      <c r="D935" s="40" t="s">
        <v>918</v>
      </c>
      <c r="E935" s="40" t="s">
        <v>7</v>
      </c>
      <c r="F935" s="72">
        <v>1</v>
      </c>
    </row>
    <row r="936" spans="1:6">
      <c r="A936" s="40" t="s">
        <v>750</v>
      </c>
      <c r="B936" s="39" t="s">
        <v>747</v>
      </c>
      <c r="C936" s="40" t="s">
        <v>1523</v>
      </c>
      <c r="D936" s="40" t="s">
        <v>918</v>
      </c>
      <c r="E936" s="40" t="s">
        <v>7</v>
      </c>
      <c r="F936" s="72">
        <v>1</v>
      </c>
    </row>
    <row r="937" spans="1:6">
      <c r="A937" s="40" t="s">
        <v>750</v>
      </c>
      <c r="B937" s="39" t="s">
        <v>747</v>
      </c>
      <c r="C937" s="40" t="s">
        <v>1524</v>
      </c>
      <c r="D937" s="40" t="s">
        <v>1525</v>
      </c>
      <c r="E937" s="40" t="s">
        <v>7</v>
      </c>
      <c r="F937" s="72">
        <v>1</v>
      </c>
    </row>
    <row r="938" spans="1:6">
      <c r="A938" s="40" t="s">
        <v>750</v>
      </c>
      <c r="B938" s="39" t="s">
        <v>747</v>
      </c>
      <c r="C938" s="40" t="s">
        <v>1526</v>
      </c>
      <c r="D938" s="40" t="s">
        <v>1525</v>
      </c>
      <c r="E938" s="40" t="s">
        <v>7</v>
      </c>
      <c r="F938" s="72">
        <v>1</v>
      </c>
    </row>
    <row r="939" spans="1:6">
      <c r="A939" s="40" t="s">
        <v>750</v>
      </c>
      <c r="B939" s="39" t="s">
        <v>747</v>
      </c>
      <c r="C939" s="40" t="s">
        <v>1527</v>
      </c>
      <c r="D939" s="40" t="s">
        <v>1525</v>
      </c>
      <c r="E939" s="40" t="s">
        <v>7</v>
      </c>
      <c r="F939" s="72">
        <v>1</v>
      </c>
    </row>
    <row r="940" spans="1:6">
      <c r="A940" s="40" t="s">
        <v>750</v>
      </c>
      <c r="B940" s="39" t="s">
        <v>747</v>
      </c>
      <c r="C940" s="40" t="s">
        <v>1528</v>
      </c>
      <c r="D940" s="40" t="s">
        <v>1525</v>
      </c>
      <c r="E940" s="40" t="s">
        <v>7</v>
      </c>
      <c r="F940" s="72">
        <v>1</v>
      </c>
    </row>
    <row r="941" spans="1:6">
      <c r="A941" s="40" t="s">
        <v>750</v>
      </c>
      <c r="B941" s="39" t="s">
        <v>747</v>
      </c>
      <c r="C941" s="40" t="s">
        <v>1529</v>
      </c>
      <c r="D941" s="40" t="s">
        <v>1525</v>
      </c>
      <c r="E941" s="40" t="s">
        <v>7</v>
      </c>
      <c r="F941" s="72">
        <v>1</v>
      </c>
    </row>
    <row r="942" spans="1:6">
      <c r="A942" s="40" t="s">
        <v>750</v>
      </c>
      <c r="B942" s="39" t="s">
        <v>747</v>
      </c>
      <c r="C942" s="40" t="s">
        <v>1530</v>
      </c>
      <c r="D942" s="40" t="s">
        <v>1525</v>
      </c>
      <c r="E942" s="40" t="s">
        <v>7</v>
      </c>
      <c r="F942" s="72">
        <v>1</v>
      </c>
    </row>
    <row r="943" spans="1:6">
      <c r="A943" s="40" t="s">
        <v>750</v>
      </c>
      <c r="B943" s="39" t="s">
        <v>747</v>
      </c>
      <c r="C943" s="40" t="s">
        <v>1531</v>
      </c>
      <c r="D943" s="40" t="s">
        <v>1525</v>
      </c>
      <c r="E943" s="40" t="s">
        <v>7</v>
      </c>
      <c r="F943" s="72">
        <v>1</v>
      </c>
    </row>
    <row r="944" spans="1:6">
      <c r="A944" s="40" t="s">
        <v>750</v>
      </c>
      <c r="B944" s="39" t="s">
        <v>747</v>
      </c>
      <c r="C944" s="40" t="s">
        <v>1532</v>
      </c>
      <c r="D944" s="40" t="s">
        <v>1525</v>
      </c>
      <c r="E944" s="40" t="s">
        <v>7</v>
      </c>
      <c r="F944" s="72">
        <v>1</v>
      </c>
    </row>
    <row r="945" spans="1:6">
      <c r="A945" s="40" t="s">
        <v>750</v>
      </c>
      <c r="B945" s="39" t="s">
        <v>747</v>
      </c>
      <c r="C945" s="40" t="s">
        <v>1533</v>
      </c>
      <c r="D945" s="40" t="s">
        <v>1525</v>
      </c>
      <c r="E945" s="40" t="s">
        <v>7</v>
      </c>
      <c r="F945" s="72">
        <v>1</v>
      </c>
    </row>
    <row r="946" spans="1:6">
      <c r="A946" s="40" t="s">
        <v>750</v>
      </c>
      <c r="B946" s="39" t="s">
        <v>747</v>
      </c>
      <c r="C946" s="40" t="s">
        <v>1534</v>
      </c>
      <c r="D946" s="40" t="s">
        <v>1525</v>
      </c>
      <c r="E946" s="40" t="s">
        <v>7</v>
      </c>
      <c r="F946" s="72">
        <v>1</v>
      </c>
    </row>
    <row r="947" spans="1:6">
      <c r="A947" s="40" t="s">
        <v>750</v>
      </c>
      <c r="B947" s="39" t="s">
        <v>747</v>
      </c>
      <c r="C947" s="40" t="s">
        <v>1535</v>
      </c>
      <c r="D947" s="40" t="s">
        <v>1525</v>
      </c>
      <c r="E947" s="40" t="s">
        <v>7</v>
      </c>
      <c r="F947" s="72">
        <v>1</v>
      </c>
    </row>
    <row r="948" spans="1:6">
      <c r="A948" s="40" t="s">
        <v>750</v>
      </c>
      <c r="B948" s="39" t="s">
        <v>747</v>
      </c>
      <c r="C948" s="40" t="s">
        <v>1536</v>
      </c>
      <c r="D948" s="40" t="s">
        <v>1525</v>
      </c>
      <c r="E948" s="40" t="s">
        <v>7</v>
      </c>
      <c r="F948" s="72">
        <v>1</v>
      </c>
    </row>
    <row r="949" spans="1:6">
      <c r="A949" s="40" t="s">
        <v>750</v>
      </c>
      <c r="B949" s="39" t="s">
        <v>747</v>
      </c>
      <c r="C949" s="40" t="s">
        <v>1537</v>
      </c>
      <c r="D949" s="40" t="s">
        <v>1525</v>
      </c>
      <c r="E949" s="40" t="s">
        <v>7</v>
      </c>
      <c r="F949" s="72">
        <v>1</v>
      </c>
    </row>
    <row r="950" spans="1:6">
      <c r="A950" s="40" t="s">
        <v>750</v>
      </c>
      <c r="B950" s="39" t="s">
        <v>747</v>
      </c>
      <c r="C950" s="40" t="s">
        <v>1538</v>
      </c>
      <c r="D950" s="40" t="s">
        <v>1525</v>
      </c>
      <c r="E950" s="40" t="s">
        <v>7</v>
      </c>
      <c r="F950" s="72">
        <v>1</v>
      </c>
    </row>
    <row r="951" spans="1:6">
      <c r="A951" s="40" t="s">
        <v>750</v>
      </c>
      <c r="B951" s="39" t="s">
        <v>747</v>
      </c>
      <c r="C951" s="40" t="s">
        <v>1539</v>
      </c>
      <c r="D951" s="40" t="s">
        <v>1525</v>
      </c>
      <c r="E951" s="40" t="s">
        <v>7</v>
      </c>
      <c r="F951" s="72">
        <v>1</v>
      </c>
    </row>
    <row r="952" spans="1:6">
      <c r="A952" s="40" t="s">
        <v>750</v>
      </c>
      <c r="B952" s="39" t="s">
        <v>747</v>
      </c>
      <c r="C952" s="40" t="s">
        <v>1540</v>
      </c>
      <c r="D952" s="40" t="s">
        <v>1525</v>
      </c>
      <c r="E952" s="40" t="s">
        <v>7</v>
      </c>
      <c r="F952" s="72">
        <v>1</v>
      </c>
    </row>
    <row r="953" spans="1:6">
      <c r="A953" s="40" t="s">
        <v>750</v>
      </c>
      <c r="B953" s="39" t="s">
        <v>747</v>
      </c>
      <c r="C953" s="40" t="s">
        <v>1541</v>
      </c>
      <c r="D953" s="40" t="s">
        <v>1525</v>
      </c>
      <c r="E953" s="40" t="s">
        <v>7</v>
      </c>
      <c r="F953" s="72">
        <v>1</v>
      </c>
    </row>
    <row r="954" spans="1:6">
      <c r="A954" s="40" t="s">
        <v>750</v>
      </c>
      <c r="B954" s="39" t="s">
        <v>747</v>
      </c>
      <c r="C954" s="40" t="s">
        <v>1542</v>
      </c>
      <c r="D954" s="40" t="s">
        <v>1525</v>
      </c>
      <c r="E954" s="40" t="s">
        <v>7</v>
      </c>
      <c r="F954" s="72">
        <v>1</v>
      </c>
    </row>
    <row r="955" spans="1:6">
      <c r="A955" s="40" t="s">
        <v>750</v>
      </c>
      <c r="B955" s="39" t="s">
        <v>747</v>
      </c>
      <c r="C955" s="40" t="s">
        <v>1543</v>
      </c>
      <c r="D955" s="40" t="s">
        <v>1525</v>
      </c>
      <c r="E955" s="40" t="s">
        <v>7</v>
      </c>
      <c r="F955" s="72">
        <v>1</v>
      </c>
    </row>
    <row r="956" spans="1:6">
      <c r="A956" s="40" t="s">
        <v>750</v>
      </c>
      <c r="B956" s="39" t="s">
        <v>747</v>
      </c>
      <c r="C956" s="40" t="s">
        <v>1544</v>
      </c>
      <c r="D956" s="40" t="s">
        <v>1525</v>
      </c>
      <c r="E956" s="40" t="s">
        <v>7</v>
      </c>
      <c r="F956" s="72">
        <v>1</v>
      </c>
    </row>
    <row r="957" spans="1:6">
      <c r="A957" s="40" t="s">
        <v>750</v>
      </c>
      <c r="B957" s="39" t="s">
        <v>747</v>
      </c>
      <c r="C957" s="40" t="s">
        <v>1545</v>
      </c>
      <c r="D957" s="40" t="s">
        <v>1136</v>
      </c>
      <c r="E957" s="40" t="s">
        <v>7</v>
      </c>
      <c r="F957" s="72">
        <v>1</v>
      </c>
    </row>
    <row r="958" spans="1:6">
      <c r="A958" s="40" t="s">
        <v>750</v>
      </c>
      <c r="B958" s="39" t="s">
        <v>747</v>
      </c>
      <c r="C958" s="40" t="s">
        <v>1546</v>
      </c>
      <c r="D958" s="40" t="s">
        <v>1136</v>
      </c>
      <c r="E958" s="40" t="s">
        <v>7</v>
      </c>
      <c r="F958" s="72">
        <v>1</v>
      </c>
    </row>
    <row r="959" spans="1:6">
      <c r="A959" s="40" t="s">
        <v>750</v>
      </c>
      <c r="B959" s="39" t="s">
        <v>747</v>
      </c>
      <c r="C959" s="40" t="s">
        <v>1547</v>
      </c>
      <c r="D959" s="40" t="s">
        <v>1136</v>
      </c>
      <c r="E959" s="40" t="s">
        <v>7</v>
      </c>
      <c r="F959" s="72">
        <v>1</v>
      </c>
    </row>
    <row r="960" spans="1:6">
      <c r="A960" s="40" t="s">
        <v>750</v>
      </c>
      <c r="B960" s="39" t="s">
        <v>747</v>
      </c>
      <c r="C960" s="40" t="s">
        <v>1548</v>
      </c>
      <c r="D960" s="40" t="s">
        <v>1136</v>
      </c>
      <c r="E960" s="40" t="s">
        <v>7</v>
      </c>
      <c r="F960" s="72">
        <v>1</v>
      </c>
    </row>
    <row r="961" spans="1:6">
      <c r="A961" s="40" t="s">
        <v>750</v>
      </c>
      <c r="B961" s="39" t="s">
        <v>747</v>
      </c>
      <c r="C961" s="40" t="s">
        <v>1549</v>
      </c>
      <c r="D961" s="40" t="s">
        <v>1136</v>
      </c>
      <c r="E961" s="40" t="s">
        <v>7</v>
      </c>
      <c r="F961" s="72">
        <v>1</v>
      </c>
    </row>
    <row r="962" spans="1:6">
      <c r="A962" s="40" t="s">
        <v>750</v>
      </c>
      <c r="B962" s="39" t="s">
        <v>747</v>
      </c>
      <c r="C962" s="40" t="s">
        <v>1550</v>
      </c>
      <c r="D962" s="40" t="s">
        <v>1136</v>
      </c>
      <c r="E962" s="40" t="s">
        <v>7</v>
      </c>
      <c r="F962" s="72">
        <v>1</v>
      </c>
    </row>
    <row r="963" spans="1:6">
      <c r="A963" s="40" t="s">
        <v>750</v>
      </c>
      <c r="B963" s="39" t="s">
        <v>747</v>
      </c>
      <c r="C963" s="40" t="s">
        <v>1551</v>
      </c>
      <c r="D963" s="40" t="s">
        <v>1136</v>
      </c>
      <c r="E963" s="40" t="s">
        <v>7</v>
      </c>
      <c r="F963" s="72">
        <v>1</v>
      </c>
    </row>
    <row r="964" spans="1:6">
      <c r="A964" s="40" t="s">
        <v>750</v>
      </c>
      <c r="B964" s="39" t="s">
        <v>747</v>
      </c>
      <c r="C964" s="40" t="s">
        <v>1552</v>
      </c>
      <c r="D964" s="40" t="s">
        <v>1136</v>
      </c>
      <c r="E964" s="40" t="s">
        <v>7</v>
      </c>
      <c r="F964" s="72">
        <v>1</v>
      </c>
    </row>
    <row r="965" spans="1:6">
      <c r="A965" s="40" t="s">
        <v>750</v>
      </c>
      <c r="B965" s="39" t="s">
        <v>747</v>
      </c>
      <c r="C965" s="40" t="s">
        <v>1553</v>
      </c>
      <c r="D965" s="40" t="s">
        <v>1136</v>
      </c>
      <c r="E965" s="40" t="s">
        <v>7</v>
      </c>
      <c r="F965" s="72">
        <v>1</v>
      </c>
    </row>
    <row r="966" spans="1:6">
      <c r="A966" s="40" t="s">
        <v>750</v>
      </c>
      <c r="B966" s="39" t="s">
        <v>747</v>
      </c>
      <c r="C966" s="40" t="s">
        <v>1554</v>
      </c>
      <c r="D966" s="40" t="s">
        <v>1136</v>
      </c>
      <c r="E966" s="40" t="s">
        <v>7</v>
      </c>
      <c r="F966" s="72">
        <v>1</v>
      </c>
    </row>
    <row r="967" spans="1:6">
      <c r="A967" s="40" t="s">
        <v>750</v>
      </c>
      <c r="B967" s="39" t="s">
        <v>747</v>
      </c>
      <c r="C967" s="40" t="s">
        <v>1555</v>
      </c>
      <c r="D967" s="40" t="s">
        <v>1136</v>
      </c>
      <c r="E967" s="40" t="s">
        <v>7</v>
      </c>
      <c r="F967" s="72">
        <v>1</v>
      </c>
    </row>
    <row r="968" spans="1:6">
      <c r="A968" s="40" t="s">
        <v>750</v>
      </c>
      <c r="B968" s="39" t="s">
        <v>747</v>
      </c>
      <c r="C968" s="40" t="s">
        <v>1556</v>
      </c>
      <c r="D968" s="40" t="s">
        <v>1136</v>
      </c>
      <c r="E968" s="40" t="s">
        <v>7</v>
      </c>
      <c r="F968" s="72">
        <v>1</v>
      </c>
    </row>
    <row r="969" spans="1:6">
      <c r="A969" s="40" t="s">
        <v>750</v>
      </c>
      <c r="B969" s="39" t="s">
        <v>747</v>
      </c>
      <c r="C969" s="40" t="s">
        <v>1557</v>
      </c>
      <c r="D969" s="40" t="s">
        <v>1136</v>
      </c>
      <c r="E969" s="40" t="s">
        <v>7</v>
      </c>
      <c r="F969" s="72">
        <v>1</v>
      </c>
    </row>
    <row r="970" spans="1:6">
      <c r="A970" s="40" t="s">
        <v>750</v>
      </c>
      <c r="B970" s="39" t="s">
        <v>747</v>
      </c>
      <c r="C970" s="40" t="s">
        <v>1558</v>
      </c>
      <c r="D970" s="40" t="s">
        <v>1136</v>
      </c>
      <c r="E970" s="40" t="s">
        <v>7</v>
      </c>
      <c r="F970" s="72">
        <v>1</v>
      </c>
    </row>
    <row r="971" spans="1:6">
      <c r="A971" s="40" t="s">
        <v>750</v>
      </c>
      <c r="B971" s="39" t="s">
        <v>747</v>
      </c>
      <c r="C971" s="40" t="s">
        <v>1559</v>
      </c>
      <c r="D971" s="40" t="s">
        <v>1136</v>
      </c>
      <c r="E971" s="40" t="s">
        <v>7</v>
      </c>
      <c r="F971" s="72">
        <v>1</v>
      </c>
    </row>
    <row r="972" spans="1:6">
      <c r="A972" s="40" t="s">
        <v>750</v>
      </c>
      <c r="B972" s="39" t="s">
        <v>747</v>
      </c>
      <c r="C972" s="40" t="s">
        <v>1560</v>
      </c>
      <c r="D972" s="40" t="s">
        <v>1136</v>
      </c>
      <c r="E972" s="40" t="s">
        <v>7</v>
      </c>
      <c r="F972" s="72">
        <v>1</v>
      </c>
    </row>
    <row r="973" spans="1:6">
      <c r="A973" s="40" t="s">
        <v>750</v>
      </c>
      <c r="B973" s="39" t="s">
        <v>747</v>
      </c>
      <c r="C973" s="40" t="s">
        <v>1561</v>
      </c>
      <c r="D973" s="40" t="s">
        <v>1136</v>
      </c>
      <c r="E973" s="40" t="s">
        <v>7</v>
      </c>
      <c r="F973" s="72">
        <v>1</v>
      </c>
    </row>
    <row r="974" spans="1:6">
      <c r="A974" s="40" t="s">
        <v>750</v>
      </c>
      <c r="B974" s="39" t="s">
        <v>747</v>
      </c>
      <c r="C974" s="40" t="s">
        <v>1562</v>
      </c>
      <c r="D974" s="40" t="s">
        <v>1136</v>
      </c>
      <c r="E974" s="40" t="s">
        <v>7</v>
      </c>
      <c r="F974" s="72">
        <v>1</v>
      </c>
    </row>
    <row r="975" spans="1:6">
      <c r="A975" s="40" t="s">
        <v>750</v>
      </c>
      <c r="B975" s="39" t="s">
        <v>747</v>
      </c>
      <c r="C975" s="40" t="s">
        <v>1563</v>
      </c>
      <c r="D975" s="40" t="s">
        <v>1136</v>
      </c>
      <c r="E975" s="40" t="s">
        <v>7</v>
      </c>
      <c r="F975" s="72">
        <v>1</v>
      </c>
    </row>
    <row r="976" spans="1:6">
      <c r="A976" s="40" t="s">
        <v>750</v>
      </c>
      <c r="B976" s="39" t="s">
        <v>747</v>
      </c>
      <c r="C976" s="40" t="s">
        <v>1564</v>
      </c>
      <c r="D976" s="40" t="s">
        <v>1136</v>
      </c>
      <c r="E976" s="40" t="s">
        <v>7</v>
      </c>
      <c r="F976" s="72">
        <v>1</v>
      </c>
    </row>
    <row r="977" spans="1:6">
      <c r="A977" s="40" t="s">
        <v>750</v>
      </c>
      <c r="B977" s="39" t="s">
        <v>747</v>
      </c>
      <c r="C977" s="40" t="s">
        <v>1565</v>
      </c>
      <c r="D977" s="40" t="s">
        <v>1136</v>
      </c>
      <c r="E977" s="40" t="s">
        <v>7</v>
      </c>
      <c r="F977" s="72">
        <v>1</v>
      </c>
    </row>
    <row r="978" spans="1:6">
      <c r="A978" s="40" t="s">
        <v>750</v>
      </c>
      <c r="B978" s="39" t="s">
        <v>747</v>
      </c>
      <c r="C978" s="40" t="s">
        <v>1566</v>
      </c>
      <c r="D978" s="40" t="s">
        <v>1136</v>
      </c>
      <c r="E978" s="40" t="s">
        <v>7</v>
      </c>
      <c r="F978" s="72">
        <v>1</v>
      </c>
    </row>
    <row r="979" spans="1:6">
      <c r="A979" s="40" t="s">
        <v>750</v>
      </c>
      <c r="B979" s="39" t="s">
        <v>747</v>
      </c>
      <c r="C979" s="40" t="s">
        <v>1567</v>
      </c>
      <c r="D979" s="40" t="s">
        <v>1136</v>
      </c>
      <c r="E979" s="40" t="s">
        <v>7</v>
      </c>
      <c r="F979" s="72">
        <v>1</v>
      </c>
    </row>
    <row r="980" spans="1:6">
      <c r="A980" s="40" t="s">
        <v>750</v>
      </c>
      <c r="B980" s="39" t="s">
        <v>747</v>
      </c>
      <c r="C980" s="40" t="s">
        <v>1568</v>
      </c>
      <c r="D980" s="40" t="s">
        <v>1136</v>
      </c>
      <c r="E980" s="40" t="s">
        <v>7</v>
      </c>
      <c r="F980" s="72">
        <v>1</v>
      </c>
    </row>
    <row r="981" spans="1:6">
      <c r="A981" s="40" t="s">
        <v>750</v>
      </c>
      <c r="B981" s="39" t="s">
        <v>747</v>
      </c>
      <c r="C981" s="40" t="s">
        <v>1569</v>
      </c>
      <c r="D981" s="40" t="s">
        <v>1136</v>
      </c>
      <c r="E981" s="40" t="s">
        <v>7</v>
      </c>
      <c r="F981" s="72">
        <v>1</v>
      </c>
    </row>
    <row r="982" spans="1:6">
      <c r="A982" s="40" t="s">
        <v>750</v>
      </c>
      <c r="B982" s="39" t="s">
        <v>747</v>
      </c>
      <c r="C982" s="40" t="s">
        <v>1570</v>
      </c>
      <c r="D982" s="40" t="s">
        <v>377</v>
      </c>
      <c r="E982" s="40" t="s">
        <v>7</v>
      </c>
      <c r="F982" s="72">
        <v>1</v>
      </c>
    </row>
    <row r="983" spans="1:6">
      <c r="A983" s="40" t="s">
        <v>750</v>
      </c>
      <c r="B983" s="39" t="s">
        <v>747</v>
      </c>
      <c r="C983" s="40" t="s">
        <v>1571</v>
      </c>
      <c r="D983" s="40" t="s">
        <v>377</v>
      </c>
      <c r="E983" s="40" t="s">
        <v>7</v>
      </c>
      <c r="F983" s="72">
        <v>1</v>
      </c>
    </row>
    <row r="984" spans="1:6">
      <c r="A984" s="40" t="s">
        <v>750</v>
      </c>
      <c r="B984" s="39" t="s">
        <v>747</v>
      </c>
      <c r="C984" s="40" t="s">
        <v>1572</v>
      </c>
      <c r="D984" s="40" t="s">
        <v>377</v>
      </c>
      <c r="E984" s="40" t="s">
        <v>7</v>
      </c>
      <c r="F984" s="72">
        <v>1</v>
      </c>
    </row>
    <row r="985" spans="1:6">
      <c r="A985" s="40" t="s">
        <v>750</v>
      </c>
      <c r="B985" s="39" t="s">
        <v>747</v>
      </c>
      <c r="C985" s="40" t="s">
        <v>1573</v>
      </c>
      <c r="D985" s="40" t="s">
        <v>377</v>
      </c>
      <c r="E985" s="40" t="s">
        <v>7</v>
      </c>
      <c r="F985" s="72">
        <v>1</v>
      </c>
    </row>
    <row r="986" spans="1:6">
      <c r="A986" s="40" t="s">
        <v>750</v>
      </c>
      <c r="B986" s="39" t="s">
        <v>747</v>
      </c>
      <c r="C986" s="40" t="s">
        <v>1574</v>
      </c>
      <c r="D986" s="40" t="s">
        <v>377</v>
      </c>
      <c r="E986" s="40" t="s">
        <v>7</v>
      </c>
      <c r="F986" s="72">
        <v>1</v>
      </c>
    </row>
    <row r="987" spans="1:6">
      <c r="A987" s="40" t="s">
        <v>750</v>
      </c>
      <c r="B987" s="39" t="s">
        <v>747</v>
      </c>
      <c r="C987" s="40" t="s">
        <v>1575</v>
      </c>
      <c r="D987" s="40" t="s">
        <v>377</v>
      </c>
      <c r="E987" s="40" t="s">
        <v>7</v>
      </c>
      <c r="F987" s="72">
        <v>1</v>
      </c>
    </row>
    <row r="988" spans="1:6">
      <c r="A988" s="40" t="s">
        <v>750</v>
      </c>
      <c r="B988" s="39" t="s">
        <v>747</v>
      </c>
      <c r="C988" s="40" t="s">
        <v>1576</v>
      </c>
      <c r="D988" s="40" t="s">
        <v>377</v>
      </c>
      <c r="E988" s="40" t="s">
        <v>7</v>
      </c>
      <c r="F988" s="72">
        <v>1</v>
      </c>
    </row>
    <row r="989" spans="1:6">
      <c r="A989" s="40" t="s">
        <v>750</v>
      </c>
      <c r="B989" s="39" t="s">
        <v>747</v>
      </c>
      <c r="C989" s="40" t="s">
        <v>1577</v>
      </c>
      <c r="D989" s="40" t="s">
        <v>377</v>
      </c>
      <c r="E989" s="40" t="s">
        <v>7</v>
      </c>
      <c r="F989" s="72">
        <v>1</v>
      </c>
    </row>
    <row r="990" spans="1:6">
      <c r="A990" s="40" t="s">
        <v>750</v>
      </c>
      <c r="B990" s="39" t="s">
        <v>747</v>
      </c>
      <c r="C990" s="40" t="s">
        <v>1578</v>
      </c>
      <c r="D990" s="40" t="s">
        <v>377</v>
      </c>
      <c r="E990" s="40" t="s">
        <v>7</v>
      </c>
      <c r="F990" s="72">
        <v>1</v>
      </c>
    </row>
    <row r="991" spans="1:6">
      <c r="A991" s="40" t="s">
        <v>750</v>
      </c>
      <c r="B991" s="39" t="s">
        <v>747</v>
      </c>
      <c r="C991" s="40" t="s">
        <v>1579</v>
      </c>
      <c r="D991" s="40" t="s">
        <v>377</v>
      </c>
      <c r="E991" s="40" t="s">
        <v>7</v>
      </c>
      <c r="F991" s="72">
        <v>1</v>
      </c>
    </row>
    <row r="992" spans="1:6">
      <c r="A992" s="40" t="s">
        <v>750</v>
      </c>
      <c r="B992" s="39" t="s">
        <v>747</v>
      </c>
      <c r="C992" s="40" t="s">
        <v>1580</v>
      </c>
      <c r="D992" s="40" t="s">
        <v>377</v>
      </c>
      <c r="E992" s="40" t="s">
        <v>7</v>
      </c>
      <c r="F992" s="72">
        <v>1</v>
      </c>
    </row>
    <row r="993" spans="1:6">
      <c r="A993" s="40" t="s">
        <v>750</v>
      </c>
      <c r="B993" s="39" t="s">
        <v>747</v>
      </c>
      <c r="C993" s="40" t="s">
        <v>1581</v>
      </c>
      <c r="D993" s="40" t="s">
        <v>377</v>
      </c>
      <c r="E993" s="40" t="s">
        <v>7</v>
      </c>
      <c r="F993" s="72">
        <v>1</v>
      </c>
    </row>
    <row r="994" spans="1:6">
      <c r="A994" s="40" t="s">
        <v>750</v>
      </c>
      <c r="B994" s="39" t="s">
        <v>747</v>
      </c>
      <c r="C994" s="40" t="s">
        <v>1582</v>
      </c>
      <c r="D994" s="40" t="s">
        <v>377</v>
      </c>
      <c r="E994" s="40" t="s">
        <v>7</v>
      </c>
      <c r="F994" s="72">
        <v>1</v>
      </c>
    </row>
    <row r="995" spans="1:6">
      <c r="A995" s="40" t="s">
        <v>750</v>
      </c>
      <c r="B995" s="39" t="s">
        <v>747</v>
      </c>
      <c r="C995" s="40" t="s">
        <v>1583</v>
      </c>
      <c r="D995" s="40" t="s">
        <v>377</v>
      </c>
      <c r="E995" s="40" t="s">
        <v>7</v>
      </c>
      <c r="F995" s="72">
        <v>1</v>
      </c>
    </row>
    <row r="996" spans="1:6">
      <c r="A996" s="40" t="s">
        <v>750</v>
      </c>
      <c r="B996" s="39" t="s">
        <v>747</v>
      </c>
      <c r="C996" s="40" t="s">
        <v>1584</v>
      </c>
      <c r="D996" s="40" t="s">
        <v>377</v>
      </c>
      <c r="E996" s="40" t="s">
        <v>7</v>
      </c>
      <c r="F996" s="72">
        <v>1</v>
      </c>
    </row>
    <row r="997" spans="1:6">
      <c r="A997" s="40" t="s">
        <v>750</v>
      </c>
      <c r="B997" s="39" t="s">
        <v>747</v>
      </c>
      <c r="C997" s="40" t="s">
        <v>1585</v>
      </c>
      <c r="D997" s="40" t="s">
        <v>377</v>
      </c>
      <c r="E997" s="40" t="s">
        <v>7</v>
      </c>
      <c r="F997" s="72">
        <v>1</v>
      </c>
    </row>
    <row r="998" spans="1:6">
      <c r="A998" s="40" t="s">
        <v>750</v>
      </c>
      <c r="B998" s="39" t="s">
        <v>747</v>
      </c>
      <c r="C998" s="40" t="s">
        <v>1586</v>
      </c>
      <c r="D998" s="40" t="s">
        <v>377</v>
      </c>
      <c r="E998" s="40" t="s">
        <v>7</v>
      </c>
      <c r="F998" s="72">
        <v>1</v>
      </c>
    </row>
    <row r="999" spans="1:6">
      <c r="A999" s="40" t="s">
        <v>750</v>
      </c>
      <c r="B999" s="39" t="s">
        <v>747</v>
      </c>
      <c r="C999" s="40" t="s">
        <v>1587</v>
      </c>
      <c r="D999" s="40" t="s">
        <v>377</v>
      </c>
      <c r="E999" s="40" t="s">
        <v>7</v>
      </c>
      <c r="F999" s="72">
        <v>1</v>
      </c>
    </row>
    <row r="1000" spans="1:6">
      <c r="A1000" s="40" t="s">
        <v>750</v>
      </c>
      <c r="B1000" s="39" t="s">
        <v>747</v>
      </c>
      <c r="C1000" s="40" t="s">
        <v>1588</v>
      </c>
      <c r="D1000" s="40" t="s">
        <v>377</v>
      </c>
      <c r="E1000" s="40" t="s">
        <v>7</v>
      </c>
      <c r="F1000" s="72">
        <v>1</v>
      </c>
    </row>
    <row r="1001" spans="1:6">
      <c r="A1001" s="40" t="s">
        <v>750</v>
      </c>
      <c r="B1001" s="39" t="s">
        <v>747</v>
      </c>
      <c r="C1001" s="40" t="s">
        <v>1589</v>
      </c>
      <c r="D1001" s="40" t="s">
        <v>377</v>
      </c>
      <c r="E1001" s="40" t="s">
        <v>7</v>
      </c>
      <c r="F1001" s="72">
        <v>1</v>
      </c>
    </row>
    <row r="1002" spans="1:6">
      <c r="A1002" s="40" t="s">
        <v>750</v>
      </c>
      <c r="B1002" s="39" t="s">
        <v>747</v>
      </c>
      <c r="C1002" s="40" t="s">
        <v>1590</v>
      </c>
      <c r="D1002" s="40" t="s">
        <v>1591</v>
      </c>
      <c r="E1002" s="40" t="s">
        <v>7</v>
      </c>
      <c r="F1002" s="72">
        <v>1</v>
      </c>
    </row>
    <row r="1003" spans="1:6">
      <c r="A1003" s="40" t="s">
        <v>750</v>
      </c>
      <c r="B1003" s="39" t="s">
        <v>747</v>
      </c>
      <c r="C1003" s="40" t="s">
        <v>1592</v>
      </c>
      <c r="D1003" s="40" t="s">
        <v>1593</v>
      </c>
      <c r="E1003" s="40" t="s">
        <v>7</v>
      </c>
      <c r="F1003" s="72">
        <v>1</v>
      </c>
    </row>
    <row r="1004" spans="1:6">
      <c r="A1004" s="40" t="s">
        <v>750</v>
      </c>
      <c r="B1004" s="39" t="s">
        <v>747</v>
      </c>
      <c r="C1004" s="40" t="s">
        <v>1594</v>
      </c>
      <c r="D1004" s="40" t="s">
        <v>1593</v>
      </c>
      <c r="E1004" s="40" t="s">
        <v>7</v>
      </c>
      <c r="F1004" s="72">
        <v>1</v>
      </c>
    </row>
    <row r="1005" spans="1:6">
      <c r="A1005" s="40" t="s">
        <v>750</v>
      </c>
      <c r="B1005" s="39" t="s">
        <v>747</v>
      </c>
      <c r="C1005" s="40" t="s">
        <v>1595</v>
      </c>
      <c r="D1005" s="40" t="s">
        <v>1596</v>
      </c>
      <c r="E1005" s="40" t="s">
        <v>7</v>
      </c>
      <c r="F1005" s="72">
        <v>1</v>
      </c>
    </row>
    <row r="1006" spans="1:6">
      <c r="A1006" s="40" t="s">
        <v>750</v>
      </c>
      <c r="B1006" s="39" t="s">
        <v>747</v>
      </c>
      <c r="C1006" s="40" t="s">
        <v>1597</v>
      </c>
      <c r="D1006" s="40" t="s">
        <v>1596</v>
      </c>
      <c r="E1006" s="40" t="s">
        <v>7</v>
      </c>
      <c r="F1006" s="72">
        <v>1</v>
      </c>
    </row>
    <row r="1007" spans="1:6">
      <c r="A1007" s="40" t="s">
        <v>750</v>
      </c>
      <c r="B1007" s="39" t="s">
        <v>747</v>
      </c>
      <c r="C1007" s="40" t="s">
        <v>1598</v>
      </c>
      <c r="D1007" s="40" t="s">
        <v>1596</v>
      </c>
      <c r="E1007" s="40" t="s">
        <v>7</v>
      </c>
      <c r="F1007" s="72">
        <v>1</v>
      </c>
    </row>
    <row r="1008" spans="1:6">
      <c r="A1008" s="40" t="s">
        <v>750</v>
      </c>
      <c r="B1008" s="39" t="s">
        <v>747</v>
      </c>
      <c r="C1008" s="40" t="s">
        <v>1599</v>
      </c>
      <c r="D1008" s="40" t="s">
        <v>1596</v>
      </c>
      <c r="E1008" s="40" t="s">
        <v>7</v>
      </c>
      <c r="F1008" s="72">
        <v>1</v>
      </c>
    </row>
    <row r="1009" spans="1:6">
      <c r="A1009" s="40" t="s">
        <v>750</v>
      </c>
      <c r="B1009" s="39" t="s">
        <v>747</v>
      </c>
      <c r="C1009" s="40" t="s">
        <v>1600</v>
      </c>
      <c r="D1009" s="40" t="s">
        <v>1601</v>
      </c>
      <c r="E1009" s="40" t="s">
        <v>7</v>
      </c>
      <c r="F1009" s="72">
        <v>1</v>
      </c>
    </row>
    <row r="1010" spans="1:6">
      <c r="A1010" s="40" t="s">
        <v>750</v>
      </c>
      <c r="B1010" s="39" t="s">
        <v>747</v>
      </c>
      <c r="C1010" s="40" t="s">
        <v>1602</v>
      </c>
      <c r="D1010" s="40" t="s">
        <v>1601</v>
      </c>
      <c r="E1010" s="40" t="s">
        <v>7</v>
      </c>
      <c r="F1010" s="72">
        <v>1</v>
      </c>
    </row>
    <row r="1011" spans="1:6">
      <c r="A1011" s="40" t="s">
        <v>750</v>
      </c>
      <c r="B1011" s="39" t="s">
        <v>747</v>
      </c>
      <c r="C1011" s="40" t="s">
        <v>1603</v>
      </c>
      <c r="D1011" s="40" t="s">
        <v>1604</v>
      </c>
      <c r="E1011" s="40" t="s">
        <v>7</v>
      </c>
      <c r="F1011" s="72">
        <v>1</v>
      </c>
    </row>
    <row r="1012" spans="1:6">
      <c r="A1012" s="40" t="s">
        <v>750</v>
      </c>
      <c r="B1012" s="39" t="s">
        <v>747</v>
      </c>
      <c r="C1012" s="40" t="s">
        <v>1605</v>
      </c>
      <c r="D1012" s="40" t="s">
        <v>1606</v>
      </c>
      <c r="E1012" s="40" t="s">
        <v>7</v>
      </c>
      <c r="F1012" s="72">
        <v>1</v>
      </c>
    </row>
    <row r="1013" spans="1:6">
      <c r="A1013" s="40" t="s">
        <v>750</v>
      </c>
      <c r="B1013" s="39" t="s">
        <v>747</v>
      </c>
      <c r="C1013" s="40" t="s">
        <v>1607</v>
      </c>
      <c r="D1013" s="40" t="s">
        <v>1606</v>
      </c>
      <c r="E1013" s="40" t="s">
        <v>7</v>
      </c>
      <c r="F1013" s="72">
        <v>1</v>
      </c>
    </row>
    <row r="1014" spans="1:6">
      <c r="A1014" s="40" t="s">
        <v>750</v>
      </c>
      <c r="B1014" s="39" t="s">
        <v>747</v>
      </c>
      <c r="C1014" s="40" t="s">
        <v>1608</v>
      </c>
      <c r="D1014" s="40" t="s">
        <v>94</v>
      </c>
      <c r="E1014" s="40" t="s">
        <v>7</v>
      </c>
      <c r="F1014" s="72">
        <v>1</v>
      </c>
    </row>
    <row r="1015" spans="1:6">
      <c r="A1015" s="40" t="s">
        <v>750</v>
      </c>
      <c r="B1015" s="39" t="s">
        <v>747</v>
      </c>
      <c r="C1015" s="40" t="s">
        <v>1609</v>
      </c>
      <c r="D1015" s="40" t="s">
        <v>96</v>
      </c>
      <c r="E1015" s="40" t="s">
        <v>7</v>
      </c>
      <c r="F1015" s="72">
        <v>1</v>
      </c>
    </row>
    <row r="1016" spans="1:6">
      <c r="A1016" s="40" t="s">
        <v>750</v>
      </c>
      <c r="B1016" s="39" t="s">
        <v>747</v>
      </c>
      <c r="C1016" s="40" t="s">
        <v>1610</v>
      </c>
      <c r="D1016" s="40" t="s">
        <v>1611</v>
      </c>
      <c r="E1016" s="40" t="s">
        <v>7</v>
      </c>
      <c r="F1016" s="72">
        <v>1</v>
      </c>
    </row>
    <row r="1017" spans="1:6">
      <c r="A1017" s="40" t="s">
        <v>750</v>
      </c>
      <c r="B1017" s="39" t="s">
        <v>747</v>
      </c>
      <c r="C1017" s="40" t="s">
        <v>1612</v>
      </c>
      <c r="D1017" s="40" t="s">
        <v>96</v>
      </c>
      <c r="E1017" s="40" t="s">
        <v>7</v>
      </c>
      <c r="F1017" s="72">
        <v>1</v>
      </c>
    </row>
    <row r="1018" spans="1:6">
      <c r="A1018" s="40" t="s">
        <v>750</v>
      </c>
      <c r="B1018" s="39" t="s">
        <v>747</v>
      </c>
      <c r="C1018" s="40" t="s">
        <v>1613</v>
      </c>
      <c r="D1018" s="40" t="s">
        <v>96</v>
      </c>
      <c r="E1018" s="40" t="s">
        <v>7</v>
      </c>
      <c r="F1018" s="72">
        <v>1</v>
      </c>
    </row>
    <row r="1019" spans="1:6">
      <c r="A1019" s="40" t="s">
        <v>750</v>
      </c>
      <c r="B1019" s="39" t="s">
        <v>747</v>
      </c>
      <c r="C1019" s="40" t="s">
        <v>1614</v>
      </c>
      <c r="D1019" s="40" t="s">
        <v>96</v>
      </c>
      <c r="E1019" s="40" t="s">
        <v>7</v>
      </c>
      <c r="F1019" s="72">
        <v>1</v>
      </c>
    </row>
    <row r="1020" spans="1:6">
      <c r="A1020" s="40" t="s">
        <v>750</v>
      </c>
      <c r="B1020" s="39" t="s">
        <v>747</v>
      </c>
      <c r="C1020" s="40" t="s">
        <v>1615</v>
      </c>
      <c r="D1020" s="40" t="s">
        <v>96</v>
      </c>
      <c r="E1020" s="40" t="s">
        <v>7</v>
      </c>
      <c r="F1020" s="72">
        <v>1</v>
      </c>
    </row>
    <row r="1021" spans="1:6">
      <c r="A1021" s="40" t="s">
        <v>750</v>
      </c>
      <c r="B1021" s="39" t="s">
        <v>747</v>
      </c>
      <c r="C1021" s="40" t="s">
        <v>1616</v>
      </c>
      <c r="D1021" s="40" t="s">
        <v>96</v>
      </c>
      <c r="E1021" s="40" t="s">
        <v>7</v>
      </c>
      <c r="F1021" s="72">
        <v>1</v>
      </c>
    </row>
    <row r="1022" spans="1:6">
      <c r="A1022" s="40" t="s">
        <v>750</v>
      </c>
      <c r="B1022" s="39" t="s">
        <v>747</v>
      </c>
      <c r="C1022" s="40" t="s">
        <v>1617</v>
      </c>
      <c r="D1022" s="40" t="s">
        <v>96</v>
      </c>
      <c r="E1022" s="40" t="s">
        <v>7</v>
      </c>
      <c r="F1022" s="72">
        <v>1</v>
      </c>
    </row>
    <row r="1023" spans="1:6">
      <c r="A1023" s="40" t="s">
        <v>750</v>
      </c>
      <c r="B1023" s="39" t="s">
        <v>747</v>
      </c>
      <c r="C1023" s="40" t="s">
        <v>1618</v>
      </c>
      <c r="D1023" s="40" t="s">
        <v>96</v>
      </c>
      <c r="E1023" s="40" t="s">
        <v>7</v>
      </c>
      <c r="F1023" s="72">
        <v>1</v>
      </c>
    </row>
    <row r="1024" spans="1:6">
      <c r="A1024" s="40" t="s">
        <v>750</v>
      </c>
      <c r="B1024" s="39" t="s">
        <v>747</v>
      </c>
      <c r="C1024" s="40" t="s">
        <v>1619</v>
      </c>
      <c r="D1024" s="40" t="s">
        <v>96</v>
      </c>
      <c r="E1024" s="40" t="s">
        <v>7</v>
      </c>
      <c r="F1024" s="72">
        <v>1</v>
      </c>
    </row>
    <row r="1025" spans="1:6">
      <c r="A1025" s="40" t="s">
        <v>750</v>
      </c>
      <c r="B1025" s="39" t="s">
        <v>747</v>
      </c>
      <c r="C1025" s="40" t="s">
        <v>1620</v>
      </c>
      <c r="D1025" s="40" t="s">
        <v>96</v>
      </c>
      <c r="E1025" s="40" t="s">
        <v>7</v>
      </c>
      <c r="F1025" s="72">
        <v>1</v>
      </c>
    </row>
    <row r="1026" spans="1:6">
      <c r="A1026" s="40" t="s">
        <v>750</v>
      </c>
      <c r="B1026" s="39" t="s">
        <v>747</v>
      </c>
      <c r="C1026" s="40" t="s">
        <v>1621</v>
      </c>
      <c r="D1026" s="40" t="s">
        <v>96</v>
      </c>
      <c r="E1026" s="40" t="s">
        <v>7</v>
      </c>
      <c r="F1026" s="72">
        <v>1</v>
      </c>
    </row>
    <row r="1027" spans="1:6">
      <c r="A1027" s="40" t="s">
        <v>750</v>
      </c>
      <c r="B1027" s="39" t="s">
        <v>747</v>
      </c>
      <c r="C1027" s="40" t="s">
        <v>1622</v>
      </c>
      <c r="D1027" s="40" t="s">
        <v>96</v>
      </c>
      <c r="E1027" s="40" t="s">
        <v>7</v>
      </c>
      <c r="F1027" s="72">
        <v>1</v>
      </c>
    </row>
    <row r="1028" spans="1:6">
      <c r="A1028" s="40" t="s">
        <v>750</v>
      </c>
      <c r="B1028" s="39" t="s">
        <v>747</v>
      </c>
      <c r="C1028" s="40" t="s">
        <v>1623</v>
      </c>
      <c r="D1028" s="40" t="s">
        <v>96</v>
      </c>
      <c r="E1028" s="40" t="s">
        <v>7</v>
      </c>
      <c r="F1028" s="72">
        <v>1</v>
      </c>
    </row>
    <row r="1029" spans="1:6">
      <c r="A1029" s="40" t="s">
        <v>750</v>
      </c>
      <c r="B1029" s="39" t="s">
        <v>747</v>
      </c>
      <c r="C1029" s="40" t="s">
        <v>1624</v>
      </c>
      <c r="D1029" s="40" t="s">
        <v>96</v>
      </c>
      <c r="E1029" s="40" t="s">
        <v>7</v>
      </c>
      <c r="F1029" s="72">
        <v>1</v>
      </c>
    </row>
    <row r="1030" spans="1:6">
      <c r="A1030" s="40" t="s">
        <v>750</v>
      </c>
      <c r="B1030" s="39" t="s">
        <v>747</v>
      </c>
      <c r="C1030" s="40" t="s">
        <v>1625</v>
      </c>
      <c r="D1030" s="40" t="s">
        <v>96</v>
      </c>
      <c r="E1030" s="40" t="s">
        <v>7</v>
      </c>
      <c r="F1030" s="72">
        <v>1</v>
      </c>
    </row>
    <row r="1031" spans="1:6">
      <c r="A1031" s="40" t="s">
        <v>750</v>
      </c>
      <c r="B1031" s="39" t="s">
        <v>747</v>
      </c>
      <c r="C1031" s="40" t="s">
        <v>1626</v>
      </c>
      <c r="D1031" s="40" t="s">
        <v>96</v>
      </c>
      <c r="E1031" s="40" t="s">
        <v>7</v>
      </c>
      <c r="F1031" s="72">
        <v>1</v>
      </c>
    </row>
    <row r="1032" spans="1:6">
      <c r="A1032" s="40" t="s">
        <v>750</v>
      </c>
      <c r="B1032" s="39" t="s">
        <v>747</v>
      </c>
      <c r="C1032" s="40" t="s">
        <v>1627</v>
      </c>
      <c r="D1032" s="40" t="s">
        <v>96</v>
      </c>
      <c r="E1032" s="40" t="s">
        <v>7</v>
      </c>
      <c r="F1032" s="72">
        <v>1</v>
      </c>
    </row>
    <row r="1033" spans="1:6">
      <c r="A1033" s="40" t="s">
        <v>750</v>
      </c>
      <c r="B1033" s="39" t="s">
        <v>747</v>
      </c>
      <c r="C1033" s="40" t="s">
        <v>1628</v>
      </c>
      <c r="D1033" s="40" t="s">
        <v>96</v>
      </c>
      <c r="E1033" s="40" t="s">
        <v>7</v>
      </c>
      <c r="F1033" s="72">
        <v>1</v>
      </c>
    </row>
    <row r="1034" spans="1:6">
      <c r="A1034" s="40" t="s">
        <v>750</v>
      </c>
      <c r="B1034" s="39" t="s">
        <v>747</v>
      </c>
      <c r="C1034" s="40" t="s">
        <v>1629</v>
      </c>
      <c r="D1034" s="40" t="s">
        <v>96</v>
      </c>
      <c r="E1034" s="40" t="s">
        <v>7</v>
      </c>
      <c r="F1034" s="72">
        <v>1</v>
      </c>
    </row>
    <row r="1035" spans="1:6">
      <c r="A1035" s="40" t="s">
        <v>750</v>
      </c>
      <c r="B1035" s="39" t="s">
        <v>747</v>
      </c>
      <c r="C1035" s="40" t="s">
        <v>1630</v>
      </c>
      <c r="D1035" s="40" t="s">
        <v>96</v>
      </c>
      <c r="E1035" s="40" t="s">
        <v>7</v>
      </c>
      <c r="F1035" s="72">
        <v>1</v>
      </c>
    </row>
    <row r="1036" spans="1:6">
      <c r="A1036" s="40" t="s">
        <v>750</v>
      </c>
      <c r="B1036" s="39" t="s">
        <v>747</v>
      </c>
      <c r="C1036" s="40" t="s">
        <v>1631</v>
      </c>
      <c r="D1036" s="40" t="s">
        <v>96</v>
      </c>
      <c r="E1036" s="40" t="s">
        <v>7</v>
      </c>
      <c r="F1036" s="72">
        <v>1</v>
      </c>
    </row>
    <row r="1037" spans="1:6">
      <c r="A1037" s="40" t="s">
        <v>750</v>
      </c>
      <c r="B1037" s="39" t="s">
        <v>747</v>
      </c>
      <c r="C1037" s="40" t="s">
        <v>1632</v>
      </c>
      <c r="D1037" s="40" t="s">
        <v>96</v>
      </c>
      <c r="E1037" s="40" t="s">
        <v>7</v>
      </c>
      <c r="F1037" s="72">
        <v>1</v>
      </c>
    </row>
    <row r="1038" spans="1:6">
      <c r="A1038" s="40" t="s">
        <v>750</v>
      </c>
      <c r="B1038" s="39" t="s">
        <v>747</v>
      </c>
      <c r="C1038" s="40" t="s">
        <v>1633</v>
      </c>
      <c r="D1038" s="40" t="s">
        <v>96</v>
      </c>
      <c r="E1038" s="40" t="s">
        <v>7</v>
      </c>
      <c r="F1038" s="72">
        <v>1</v>
      </c>
    </row>
    <row r="1039" spans="1:6">
      <c r="A1039" s="40" t="s">
        <v>750</v>
      </c>
      <c r="B1039" s="39" t="s">
        <v>747</v>
      </c>
      <c r="C1039" s="40" t="s">
        <v>1634</v>
      </c>
      <c r="D1039" s="40" t="s">
        <v>96</v>
      </c>
      <c r="E1039" s="40" t="s">
        <v>7</v>
      </c>
      <c r="F1039" s="72">
        <v>1</v>
      </c>
    </row>
    <row r="1040" spans="1:6">
      <c r="A1040" s="40" t="s">
        <v>750</v>
      </c>
      <c r="B1040" s="39" t="s">
        <v>747</v>
      </c>
      <c r="C1040" s="40" t="s">
        <v>1635</v>
      </c>
      <c r="D1040" s="40" t="s">
        <v>96</v>
      </c>
      <c r="E1040" s="40" t="s">
        <v>7</v>
      </c>
      <c r="F1040" s="72">
        <v>1</v>
      </c>
    </row>
    <row r="1041" spans="1:6">
      <c r="A1041" s="40" t="s">
        <v>750</v>
      </c>
      <c r="B1041" s="39" t="s">
        <v>747</v>
      </c>
      <c r="C1041" s="40" t="s">
        <v>1636</v>
      </c>
      <c r="D1041" s="40" t="s">
        <v>96</v>
      </c>
      <c r="E1041" s="40" t="s">
        <v>7</v>
      </c>
      <c r="F1041" s="72">
        <v>1</v>
      </c>
    </row>
    <row r="1042" spans="1:6">
      <c r="A1042" s="40" t="s">
        <v>750</v>
      </c>
      <c r="B1042" s="39" t="s">
        <v>747</v>
      </c>
      <c r="C1042" s="40" t="s">
        <v>1637</v>
      </c>
      <c r="D1042" s="40" t="s">
        <v>96</v>
      </c>
      <c r="E1042" s="40" t="s">
        <v>7</v>
      </c>
      <c r="F1042" s="72">
        <v>1</v>
      </c>
    </row>
    <row r="1043" spans="1:6">
      <c r="A1043" s="40" t="s">
        <v>750</v>
      </c>
      <c r="B1043" s="39" t="s">
        <v>747</v>
      </c>
      <c r="C1043" s="40" t="s">
        <v>1638</v>
      </c>
      <c r="D1043" s="40" t="s">
        <v>96</v>
      </c>
      <c r="E1043" s="40" t="s">
        <v>7</v>
      </c>
      <c r="F1043" s="72">
        <v>1</v>
      </c>
    </row>
    <row r="1044" spans="1:6">
      <c r="A1044" s="40" t="s">
        <v>750</v>
      </c>
      <c r="B1044" s="39" t="s">
        <v>747</v>
      </c>
      <c r="C1044" s="40" t="s">
        <v>1639</v>
      </c>
      <c r="D1044" s="40" t="s">
        <v>96</v>
      </c>
      <c r="E1044" s="40" t="s">
        <v>7</v>
      </c>
      <c r="F1044" s="72">
        <v>1</v>
      </c>
    </row>
    <row r="1045" spans="1:6">
      <c r="A1045" s="40" t="s">
        <v>750</v>
      </c>
      <c r="B1045" s="39" t="s">
        <v>747</v>
      </c>
      <c r="C1045" s="40" t="s">
        <v>1640</v>
      </c>
      <c r="D1045" s="40" t="s">
        <v>96</v>
      </c>
      <c r="E1045" s="40" t="s">
        <v>7</v>
      </c>
      <c r="F1045" s="72">
        <v>1</v>
      </c>
    </row>
    <row r="1046" spans="1:6">
      <c r="A1046" s="40" t="s">
        <v>750</v>
      </c>
      <c r="B1046" s="39" t="s">
        <v>747</v>
      </c>
      <c r="C1046" s="40" t="s">
        <v>1641</v>
      </c>
      <c r="D1046" s="40" t="s">
        <v>96</v>
      </c>
      <c r="E1046" s="40" t="s">
        <v>7</v>
      </c>
      <c r="F1046" s="72">
        <v>1</v>
      </c>
    </row>
    <row r="1047" spans="1:6">
      <c r="A1047" s="40" t="s">
        <v>750</v>
      </c>
      <c r="B1047" s="39" t="s">
        <v>747</v>
      </c>
      <c r="C1047" s="40" t="s">
        <v>1642</v>
      </c>
      <c r="D1047" s="40" t="s">
        <v>96</v>
      </c>
      <c r="E1047" s="40" t="s">
        <v>7</v>
      </c>
      <c r="F1047" s="72">
        <v>1</v>
      </c>
    </row>
    <row r="1048" spans="1:6">
      <c r="A1048" s="40" t="s">
        <v>750</v>
      </c>
      <c r="B1048" s="39" t="s">
        <v>747</v>
      </c>
      <c r="C1048" s="40" t="s">
        <v>1643</v>
      </c>
      <c r="D1048" s="40" t="s">
        <v>96</v>
      </c>
      <c r="E1048" s="40" t="s">
        <v>7</v>
      </c>
      <c r="F1048" s="72">
        <v>1</v>
      </c>
    </row>
    <row r="1049" spans="1:6">
      <c r="A1049" s="40" t="s">
        <v>750</v>
      </c>
      <c r="B1049" s="39" t="s">
        <v>747</v>
      </c>
      <c r="C1049" s="40" t="s">
        <v>1644</v>
      </c>
      <c r="D1049" s="40" t="s">
        <v>96</v>
      </c>
      <c r="E1049" s="40" t="s">
        <v>7</v>
      </c>
      <c r="F1049" s="72">
        <v>1</v>
      </c>
    </row>
    <row r="1050" spans="1:6">
      <c r="A1050" s="40" t="s">
        <v>750</v>
      </c>
      <c r="B1050" s="39" t="s">
        <v>747</v>
      </c>
      <c r="C1050" s="40" t="s">
        <v>1645</v>
      </c>
      <c r="D1050" s="40" t="s">
        <v>96</v>
      </c>
      <c r="E1050" s="40" t="s">
        <v>7</v>
      </c>
      <c r="F1050" s="72">
        <v>1</v>
      </c>
    </row>
    <row r="1051" spans="1:6">
      <c r="A1051" s="40" t="s">
        <v>750</v>
      </c>
      <c r="B1051" s="39" t="s">
        <v>747</v>
      </c>
      <c r="C1051" s="40" t="s">
        <v>1646</v>
      </c>
      <c r="D1051" s="40" t="s">
        <v>96</v>
      </c>
      <c r="E1051" s="40" t="s">
        <v>7</v>
      </c>
      <c r="F1051" s="72">
        <v>1</v>
      </c>
    </row>
    <row r="1052" spans="1:6">
      <c r="A1052" s="40" t="s">
        <v>750</v>
      </c>
      <c r="B1052" s="39" t="s">
        <v>747</v>
      </c>
      <c r="C1052" s="40" t="s">
        <v>1647</v>
      </c>
      <c r="D1052" s="40" t="s">
        <v>96</v>
      </c>
      <c r="E1052" s="40" t="s">
        <v>7</v>
      </c>
      <c r="F1052" s="72">
        <v>1</v>
      </c>
    </row>
    <row r="1053" spans="1:6">
      <c r="A1053" s="40" t="s">
        <v>750</v>
      </c>
      <c r="B1053" s="39" t="s">
        <v>747</v>
      </c>
      <c r="C1053" s="40" t="s">
        <v>1648</v>
      </c>
      <c r="D1053" s="40" t="s">
        <v>96</v>
      </c>
      <c r="E1053" s="40" t="s">
        <v>7</v>
      </c>
      <c r="F1053" s="72">
        <v>1</v>
      </c>
    </row>
    <row r="1054" spans="1:6">
      <c r="A1054" s="40" t="s">
        <v>750</v>
      </c>
      <c r="B1054" s="39" t="s">
        <v>747</v>
      </c>
      <c r="C1054" s="40" t="s">
        <v>1649</v>
      </c>
      <c r="D1054" s="40" t="s">
        <v>96</v>
      </c>
      <c r="E1054" s="40" t="s">
        <v>7</v>
      </c>
      <c r="F1054" s="72">
        <v>1</v>
      </c>
    </row>
    <row r="1055" spans="1:6">
      <c r="A1055" s="40" t="s">
        <v>750</v>
      </c>
      <c r="B1055" s="39" t="s">
        <v>747</v>
      </c>
      <c r="C1055" s="40" t="s">
        <v>1650</v>
      </c>
      <c r="D1055" s="40" t="s">
        <v>96</v>
      </c>
      <c r="E1055" s="40" t="s">
        <v>7</v>
      </c>
      <c r="F1055" s="72">
        <v>1</v>
      </c>
    </row>
    <row r="1056" spans="1:6">
      <c r="A1056" s="40" t="s">
        <v>750</v>
      </c>
      <c r="B1056" s="39" t="s">
        <v>747</v>
      </c>
      <c r="C1056" s="40" t="s">
        <v>1651</v>
      </c>
      <c r="D1056" s="40" t="s">
        <v>96</v>
      </c>
      <c r="E1056" s="40" t="s">
        <v>7</v>
      </c>
      <c r="F1056" s="72">
        <v>1</v>
      </c>
    </row>
    <row r="1057" spans="1:6">
      <c r="A1057" s="40" t="s">
        <v>750</v>
      </c>
      <c r="B1057" s="39" t="s">
        <v>747</v>
      </c>
      <c r="C1057" s="40" t="s">
        <v>1652</v>
      </c>
      <c r="D1057" s="40" t="s">
        <v>96</v>
      </c>
      <c r="E1057" s="40" t="s">
        <v>7</v>
      </c>
      <c r="F1057" s="72">
        <v>1</v>
      </c>
    </row>
    <row r="1058" spans="1:6">
      <c r="A1058" s="40" t="s">
        <v>750</v>
      </c>
      <c r="B1058" s="39" t="s">
        <v>747</v>
      </c>
      <c r="C1058" s="40" t="s">
        <v>1653</v>
      </c>
      <c r="D1058" s="40" t="s">
        <v>96</v>
      </c>
      <c r="E1058" s="40" t="s">
        <v>7</v>
      </c>
      <c r="F1058" s="72">
        <v>1</v>
      </c>
    </row>
    <row r="1059" spans="1:6">
      <c r="A1059" s="40" t="s">
        <v>750</v>
      </c>
      <c r="B1059" s="39" t="s">
        <v>747</v>
      </c>
      <c r="C1059" s="40" t="s">
        <v>1654</v>
      </c>
      <c r="D1059" s="40" t="s">
        <v>96</v>
      </c>
      <c r="E1059" s="40" t="s">
        <v>7</v>
      </c>
      <c r="F1059" s="72">
        <v>1</v>
      </c>
    </row>
    <row r="1060" spans="1:6">
      <c r="A1060" s="40" t="s">
        <v>750</v>
      </c>
      <c r="B1060" s="39" t="s">
        <v>747</v>
      </c>
      <c r="C1060" s="40" t="s">
        <v>1655</v>
      </c>
      <c r="D1060" s="40" t="s">
        <v>96</v>
      </c>
      <c r="E1060" s="40" t="s">
        <v>7</v>
      </c>
      <c r="F1060" s="72">
        <v>1</v>
      </c>
    </row>
    <row r="1061" spans="1:6">
      <c r="A1061" s="40" t="s">
        <v>750</v>
      </c>
      <c r="B1061" s="39" t="s">
        <v>747</v>
      </c>
      <c r="C1061" s="40" t="s">
        <v>1656</v>
      </c>
      <c r="D1061" s="40" t="s">
        <v>96</v>
      </c>
      <c r="E1061" s="40" t="s">
        <v>7</v>
      </c>
      <c r="F1061" s="72">
        <v>1</v>
      </c>
    </row>
    <row r="1062" spans="1:6">
      <c r="A1062" s="40" t="s">
        <v>750</v>
      </c>
      <c r="B1062" s="39" t="s">
        <v>747</v>
      </c>
      <c r="C1062" s="40" t="s">
        <v>1657</v>
      </c>
      <c r="D1062" s="40" t="s">
        <v>96</v>
      </c>
      <c r="E1062" s="40" t="s">
        <v>7</v>
      </c>
      <c r="F1062" s="72">
        <v>1</v>
      </c>
    </row>
    <row r="1063" spans="1:6">
      <c r="A1063" s="40" t="s">
        <v>750</v>
      </c>
      <c r="B1063" s="39" t="s">
        <v>747</v>
      </c>
      <c r="C1063" s="40" t="s">
        <v>1658</v>
      </c>
      <c r="D1063" s="40" t="s">
        <v>96</v>
      </c>
      <c r="E1063" s="40" t="s">
        <v>7</v>
      </c>
      <c r="F1063" s="72">
        <v>1</v>
      </c>
    </row>
    <row r="1064" spans="1:6">
      <c r="A1064" s="40" t="s">
        <v>750</v>
      </c>
      <c r="B1064" s="39" t="s">
        <v>747</v>
      </c>
      <c r="C1064" s="40" t="s">
        <v>1659</v>
      </c>
      <c r="D1064" s="40" t="s">
        <v>96</v>
      </c>
      <c r="E1064" s="40" t="s">
        <v>7</v>
      </c>
      <c r="F1064" s="72">
        <v>1</v>
      </c>
    </row>
    <row r="1065" spans="1:6">
      <c r="A1065" s="40" t="s">
        <v>750</v>
      </c>
      <c r="B1065" s="39" t="s">
        <v>747</v>
      </c>
      <c r="C1065" s="40" t="s">
        <v>1660</v>
      </c>
      <c r="D1065" s="40" t="s">
        <v>96</v>
      </c>
      <c r="E1065" s="40" t="s">
        <v>7</v>
      </c>
      <c r="F1065" s="72">
        <v>1</v>
      </c>
    </row>
    <row r="1066" spans="1:6">
      <c r="A1066" s="40" t="s">
        <v>750</v>
      </c>
      <c r="B1066" s="39" t="s">
        <v>747</v>
      </c>
      <c r="C1066" s="40" t="s">
        <v>1661</v>
      </c>
      <c r="D1066" s="40" t="s">
        <v>96</v>
      </c>
      <c r="E1066" s="40" t="s">
        <v>7</v>
      </c>
      <c r="F1066" s="72">
        <v>1</v>
      </c>
    </row>
    <row r="1067" spans="1:6">
      <c r="A1067" s="40" t="s">
        <v>750</v>
      </c>
      <c r="B1067" s="39" t="s">
        <v>747</v>
      </c>
      <c r="C1067" s="40" t="s">
        <v>1662</v>
      </c>
      <c r="D1067" s="40" t="s">
        <v>96</v>
      </c>
      <c r="E1067" s="40" t="s">
        <v>7</v>
      </c>
      <c r="F1067" s="72">
        <v>1</v>
      </c>
    </row>
    <row r="1068" spans="1:6">
      <c r="A1068" s="40" t="s">
        <v>750</v>
      </c>
      <c r="B1068" s="39" t="s">
        <v>747</v>
      </c>
      <c r="C1068" s="40" t="s">
        <v>1663</v>
      </c>
      <c r="D1068" s="40" t="s">
        <v>96</v>
      </c>
      <c r="E1068" s="40" t="s">
        <v>7</v>
      </c>
      <c r="F1068" s="72">
        <v>1</v>
      </c>
    </row>
    <row r="1069" spans="1:6">
      <c r="A1069" s="40" t="s">
        <v>750</v>
      </c>
      <c r="B1069" s="39" t="s">
        <v>747</v>
      </c>
      <c r="C1069" s="40" t="s">
        <v>1664</v>
      </c>
      <c r="D1069" s="40" t="s">
        <v>95</v>
      </c>
      <c r="E1069" s="40" t="s">
        <v>7</v>
      </c>
      <c r="F1069" s="72">
        <v>1</v>
      </c>
    </row>
    <row r="1070" s="40" customFormat="1" spans="1:6">
      <c r="A1070" s="40" t="s">
        <v>750</v>
      </c>
      <c r="B1070" s="39" t="s">
        <v>747</v>
      </c>
      <c r="C1070" s="40" t="s">
        <v>1665</v>
      </c>
      <c r="D1070" s="40" t="s">
        <v>1666</v>
      </c>
      <c r="E1070" s="40" t="s">
        <v>7</v>
      </c>
      <c r="F1070" s="72">
        <v>1</v>
      </c>
    </row>
    <row r="1071" spans="1:6">
      <c r="A1071" s="40" t="s">
        <v>750</v>
      </c>
      <c r="B1071" s="39" t="s">
        <v>747</v>
      </c>
      <c r="C1071" s="40" t="s">
        <v>1667</v>
      </c>
      <c r="D1071" s="40" t="s">
        <v>49</v>
      </c>
      <c r="E1071" s="40" t="s">
        <v>7</v>
      </c>
      <c r="F1071" s="72">
        <v>1</v>
      </c>
    </row>
    <row r="1072" s="40" customFormat="1" spans="1:6">
      <c r="A1072" s="40" t="s">
        <v>750</v>
      </c>
      <c r="B1072" s="39" t="s">
        <v>747</v>
      </c>
      <c r="C1072" s="40" t="s">
        <v>1668</v>
      </c>
      <c r="D1072" s="40" t="s">
        <v>1669</v>
      </c>
      <c r="E1072" s="40" t="s">
        <v>7</v>
      </c>
      <c r="F1072" s="72">
        <v>1</v>
      </c>
    </row>
    <row r="1073" spans="1:6">
      <c r="A1073" s="40" t="s">
        <v>750</v>
      </c>
      <c r="B1073" s="39" t="s">
        <v>747</v>
      </c>
      <c r="C1073" s="40" t="s">
        <v>1670</v>
      </c>
      <c r="D1073" s="40" t="s">
        <v>1671</v>
      </c>
      <c r="E1073" s="40" t="s">
        <v>7</v>
      </c>
      <c r="F1073" s="72">
        <v>1</v>
      </c>
    </row>
    <row r="1074" spans="1:6">
      <c r="A1074" s="40" t="s">
        <v>750</v>
      </c>
      <c r="B1074" s="39" t="s">
        <v>747</v>
      </c>
      <c r="C1074" s="40" t="s">
        <v>1672</v>
      </c>
      <c r="D1074" s="40" t="s">
        <v>96</v>
      </c>
      <c r="E1074" s="40" t="s">
        <v>7</v>
      </c>
      <c r="F1074" s="72">
        <v>1</v>
      </c>
    </row>
    <row r="1075" spans="1:6">
      <c r="A1075" s="40" t="s">
        <v>750</v>
      </c>
      <c r="B1075" s="39" t="s">
        <v>747</v>
      </c>
      <c r="C1075" s="40" t="s">
        <v>1673</v>
      </c>
      <c r="D1075" s="40" t="s">
        <v>96</v>
      </c>
      <c r="E1075" s="40" t="s">
        <v>7</v>
      </c>
      <c r="F1075" s="72">
        <v>1</v>
      </c>
    </row>
    <row r="1076" spans="1:6">
      <c r="A1076" s="40" t="s">
        <v>750</v>
      </c>
      <c r="B1076" s="39" t="s">
        <v>747</v>
      </c>
      <c r="C1076" s="40" t="s">
        <v>1674</v>
      </c>
      <c r="D1076" s="40" t="s">
        <v>96</v>
      </c>
      <c r="E1076" s="40" t="s">
        <v>7</v>
      </c>
      <c r="F1076" s="72">
        <v>1</v>
      </c>
    </row>
    <row r="1077" spans="1:6">
      <c r="A1077" s="40" t="s">
        <v>750</v>
      </c>
      <c r="B1077" s="39" t="s">
        <v>747</v>
      </c>
      <c r="C1077" s="40" t="s">
        <v>1675</v>
      </c>
      <c r="D1077" s="40" t="s">
        <v>96</v>
      </c>
      <c r="E1077" s="40" t="s">
        <v>7</v>
      </c>
      <c r="F1077" s="72">
        <v>1</v>
      </c>
    </row>
    <row r="1078" spans="1:6">
      <c r="A1078" s="40" t="s">
        <v>750</v>
      </c>
      <c r="B1078" s="39" t="s">
        <v>747</v>
      </c>
      <c r="C1078" s="40" t="s">
        <v>1676</v>
      </c>
      <c r="D1078" s="40" t="s">
        <v>96</v>
      </c>
      <c r="E1078" s="40" t="s">
        <v>7</v>
      </c>
      <c r="F1078" s="72">
        <v>1</v>
      </c>
    </row>
    <row r="1079" spans="1:6">
      <c r="A1079" s="40" t="s">
        <v>750</v>
      </c>
      <c r="B1079" s="39" t="s">
        <v>747</v>
      </c>
      <c r="C1079" s="40" t="s">
        <v>1677</v>
      </c>
      <c r="D1079" s="40" t="s">
        <v>96</v>
      </c>
      <c r="E1079" s="40" t="s">
        <v>7</v>
      </c>
      <c r="F1079" s="72">
        <v>1</v>
      </c>
    </row>
    <row r="1080" spans="1:6">
      <c r="A1080" s="40" t="s">
        <v>750</v>
      </c>
      <c r="B1080" s="39" t="s">
        <v>747</v>
      </c>
      <c r="C1080" s="40" t="s">
        <v>1678</v>
      </c>
      <c r="D1080" s="40" t="s">
        <v>96</v>
      </c>
      <c r="E1080" s="40" t="s">
        <v>7</v>
      </c>
      <c r="F1080" s="72">
        <v>1</v>
      </c>
    </row>
    <row r="1081" spans="1:6">
      <c r="A1081" s="40" t="s">
        <v>750</v>
      </c>
      <c r="B1081" s="39" t="s">
        <v>747</v>
      </c>
      <c r="C1081" s="40" t="s">
        <v>1679</v>
      </c>
      <c r="D1081" s="40" t="s">
        <v>96</v>
      </c>
      <c r="E1081" s="40" t="s">
        <v>7</v>
      </c>
      <c r="F1081" s="72">
        <v>1</v>
      </c>
    </row>
    <row r="1082" spans="1:6">
      <c r="A1082" s="40" t="s">
        <v>750</v>
      </c>
      <c r="B1082" s="39" t="s">
        <v>747</v>
      </c>
      <c r="C1082" s="40" t="s">
        <v>1680</v>
      </c>
      <c r="D1082" s="40" t="s">
        <v>96</v>
      </c>
      <c r="E1082" s="40" t="s">
        <v>7</v>
      </c>
      <c r="F1082" s="72">
        <v>1</v>
      </c>
    </row>
    <row r="1083" spans="1:6">
      <c r="A1083" s="40" t="s">
        <v>750</v>
      </c>
      <c r="B1083" s="39" t="s">
        <v>747</v>
      </c>
      <c r="C1083" s="40" t="s">
        <v>1681</v>
      </c>
      <c r="D1083" s="40" t="s">
        <v>96</v>
      </c>
      <c r="E1083" s="40" t="s">
        <v>7</v>
      </c>
      <c r="F1083" s="72">
        <v>1</v>
      </c>
    </row>
    <row r="1084" spans="1:6">
      <c r="A1084" s="40" t="s">
        <v>750</v>
      </c>
      <c r="B1084" s="39" t="s">
        <v>747</v>
      </c>
      <c r="C1084" s="40" t="s">
        <v>1682</v>
      </c>
      <c r="D1084" s="40" t="s">
        <v>96</v>
      </c>
      <c r="E1084" s="40" t="s">
        <v>7</v>
      </c>
      <c r="F1084" s="72">
        <v>1</v>
      </c>
    </row>
    <row r="1085" spans="1:6">
      <c r="A1085" s="40" t="s">
        <v>750</v>
      </c>
      <c r="B1085" s="39" t="s">
        <v>747</v>
      </c>
      <c r="C1085" s="40" t="s">
        <v>1683</v>
      </c>
      <c r="D1085" s="40" t="s">
        <v>96</v>
      </c>
      <c r="E1085" s="40" t="s">
        <v>7</v>
      </c>
      <c r="F1085" s="72">
        <v>1</v>
      </c>
    </row>
    <row r="1086" spans="1:6">
      <c r="A1086" s="40" t="s">
        <v>750</v>
      </c>
      <c r="B1086" s="39" t="s">
        <v>747</v>
      </c>
      <c r="C1086" s="40" t="s">
        <v>1684</v>
      </c>
      <c r="D1086" s="40" t="s">
        <v>96</v>
      </c>
      <c r="E1086" s="40" t="s">
        <v>7</v>
      </c>
      <c r="F1086" s="72">
        <v>1</v>
      </c>
    </row>
    <row r="1087" spans="1:6">
      <c r="A1087" s="40" t="s">
        <v>750</v>
      </c>
      <c r="B1087" s="39" t="s">
        <v>747</v>
      </c>
      <c r="C1087" s="40" t="s">
        <v>1685</v>
      </c>
      <c r="D1087" s="40" t="s">
        <v>96</v>
      </c>
      <c r="E1087" s="40" t="s">
        <v>7</v>
      </c>
      <c r="F1087" s="72">
        <v>1</v>
      </c>
    </row>
    <row r="1088" spans="1:6">
      <c r="A1088" s="40" t="s">
        <v>750</v>
      </c>
      <c r="B1088" s="39" t="s">
        <v>747</v>
      </c>
      <c r="C1088" s="40" t="s">
        <v>1686</v>
      </c>
      <c r="D1088" s="40" t="s">
        <v>96</v>
      </c>
      <c r="E1088" s="40" t="s">
        <v>7</v>
      </c>
      <c r="F1088" s="72">
        <v>1</v>
      </c>
    </row>
    <row r="1089" spans="1:6">
      <c r="A1089" s="40" t="s">
        <v>750</v>
      </c>
      <c r="B1089" s="39" t="s">
        <v>747</v>
      </c>
      <c r="C1089" s="40" t="s">
        <v>1687</v>
      </c>
      <c r="D1089" s="40" t="s">
        <v>96</v>
      </c>
      <c r="E1089" s="40" t="s">
        <v>7</v>
      </c>
      <c r="F1089" s="72">
        <v>1</v>
      </c>
    </row>
    <row r="1090" spans="1:6">
      <c r="A1090" s="40" t="s">
        <v>750</v>
      </c>
      <c r="B1090" s="39" t="s">
        <v>747</v>
      </c>
      <c r="C1090" s="40" t="s">
        <v>1688</v>
      </c>
      <c r="D1090" s="40" t="s">
        <v>96</v>
      </c>
      <c r="E1090" s="40" t="s">
        <v>7</v>
      </c>
      <c r="F1090" s="72">
        <v>1</v>
      </c>
    </row>
    <row r="1091" spans="1:6">
      <c r="A1091" s="40" t="s">
        <v>750</v>
      </c>
      <c r="B1091" s="39" t="s">
        <v>747</v>
      </c>
      <c r="C1091" s="40" t="s">
        <v>1689</v>
      </c>
      <c r="D1091" s="40" t="s">
        <v>96</v>
      </c>
      <c r="E1091" s="40" t="s">
        <v>7</v>
      </c>
      <c r="F1091" s="72">
        <v>1</v>
      </c>
    </row>
    <row r="1092" spans="1:6">
      <c r="A1092" s="40" t="s">
        <v>750</v>
      </c>
      <c r="B1092" s="39" t="s">
        <v>747</v>
      </c>
      <c r="C1092" s="40" t="s">
        <v>1690</v>
      </c>
      <c r="D1092" s="40" t="s">
        <v>96</v>
      </c>
      <c r="E1092" s="40" t="s">
        <v>7</v>
      </c>
      <c r="F1092" s="72">
        <v>1</v>
      </c>
    </row>
    <row r="1093" spans="1:6">
      <c r="A1093" s="40" t="s">
        <v>750</v>
      </c>
      <c r="B1093" s="39" t="s">
        <v>747</v>
      </c>
      <c r="C1093" s="40" t="s">
        <v>1691</v>
      </c>
      <c r="D1093" s="40" t="s">
        <v>96</v>
      </c>
      <c r="E1093" s="40" t="s">
        <v>7</v>
      </c>
      <c r="F1093" s="72">
        <v>1</v>
      </c>
    </row>
    <row r="1094" spans="1:6">
      <c r="A1094" s="40" t="s">
        <v>750</v>
      </c>
      <c r="B1094" s="39" t="s">
        <v>747</v>
      </c>
      <c r="C1094" s="40" t="s">
        <v>1692</v>
      </c>
      <c r="D1094" s="40" t="s">
        <v>96</v>
      </c>
      <c r="E1094" s="40" t="s">
        <v>7</v>
      </c>
      <c r="F1094" s="72">
        <v>1</v>
      </c>
    </row>
    <row r="1095" spans="1:6">
      <c r="A1095" s="40" t="s">
        <v>750</v>
      </c>
      <c r="B1095" s="39" t="s">
        <v>747</v>
      </c>
      <c r="C1095" s="40" t="s">
        <v>1693</v>
      </c>
      <c r="D1095" s="40" t="s">
        <v>96</v>
      </c>
      <c r="E1095" s="40" t="s">
        <v>7</v>
      </c>
      <c r="F1095" s="72">
        <v>1</v>
      </c>
    </row>
    <row r="1096" spans="1:6">
      <c r="A1096" s="40" t="s">
        <v>750</v>
      </c>
      <c r="B1096" s="39" t="s">
        <v>747</v>
      </c>
      <c r="C1096" s="40" t="s">
        <v>1694</v>
      </c>
      <c r="D1096" s="40" t="s">
        <v>96</v>
      </c>
      <c r="E1096" s="40" t="s">
        <v>7</v>
      </c>
      <c r="F1096" s="72">
        <v>1</v>
      </c>
    </row>
    <row r="1097" spans="1:6">
      <c r="A1097" s="40" t="s">
        <v>750</v>
      </c>
      <c r="B1097" s="39" t="s">
        <v>747</v>
      </c>
      <c r="C1097" s="40" t="s">
        <v>1695</v>
      </c>
      <c r="D1097" s="40" t="s">
        <v>96</v>
      </c>
      <c r="E1097" s="40" t="s">
        <v>7</v>
      </c>
      <c r="F1097" s="72">
        <v>1</v>
      </c>
    </row>
    <row r="1098" spans="1:6">
      <c r="A1098" s="40" t="s">
        <v>750</v>
      </c>
      <c r="B1098" s="39" t="s">
        <v>747</v>
      </c>
      <c r="C1098" s="40" t="s">
        <v>1696</v>
      </c>
      <c r="D1098" s="40" t="s">
        <v>96</v>
      </c>
      <c r="E1098" s="40" t="s">
        <v>7</v>
      </c>
      <c r="F1098" s="72">
        <v>1</v>
      </c>
    </row>
    <row r="1099" spans="1:6">
      <c r="A1099" s="40" t="s">
        <v>750</v>
      </c>
      <c r="B1099" s="39" t="s">
        <v>747</v>
      </c>
      <c r="C1099" s="40" t="s">
        <v>1697</v>
      </c>
      <c r="D1099" s="40" t="s">
        <v>96</v>
      </c>
      <c r="E1099" s="40" t="s">
        <v>7</v>
      </c>
      <c r="F1099" s="72">
        <v>1</v>
      </c>
    </row>
    <row r="1100" spans="1:6">
      <c r="A1100" s="40" t="s">
        <v>750</v>
      </c>
      <c r="B1100" s="39" t="s">
        <v>747</v>
      </c>
      <c r="C1100" s="40" t="s">
        <v>1698</v>
      </c>
      <c r="D1100" s="40" t="s">
        <v>96</v>
      </c>
      <c r="E1100" s="40" t="s">
        <v>7</v>
      </c>
      <c r="F1100" s="72">
        <v>1</v>
      </c>
    </row>
    <row r="1101" spans="1:6">
      <c r="A1101" s="40" t="s">
        <v>750</v>
      </c>
      <c r="B1101" s="39" t="s">
        <v>747</v>
      </c>
      <c r="C1101" s="40" t="s">
        <v>1699</v>
      </c>
      <c r="D1101" s="40" t="s">
        <v>96</v>
      </c>
      <c r="E1101" s="40" t="s">
        <v>7</v>
      </c>
      <c r="F1101" s="72">
        <v>1</v>
      </c>
    </row>
    <row r="1102" spans="1:6">
      <c r="A1102" s="40" t="s">
        <v>750</v>
      </c>
      <c r="B1102" s="39" t="s">
        <v>747</v>
      </c>
      <c r="C1102" s="40" t="s">
        <v>1700</v>
      </c>
      <c r="D1102" s="40" t="s">
        <v>96</v>
      </c>
      <c r="E1102" s="40" t="s">
        <v>7</v>
      </c>
      <c r="F1102" s="72">
        <v>1</v>
      </c>
    </row>
    <row r="1103" spans="1:6">
      <c r="A1103" s="40" t="s">
        <v>750</v>
      </c>
      <c r="B1103" s="39" t="s">
        <v>747</v>
      </c>
      <c r="C1103" s="40" t="s">
        <v>1701</v>
      </c>
      <c r="D1103" s="40" t="s">
        <v>96</v>
      </c>
      <c r="E1103" s="40" t="s">
        <v>7</v>
      </c>
      <c r="F1103" s="72">
        <v>1</v>
      </c>
    </row>
    <row r="1104" spans="1:6">
      <c r="A1104" s="40" t="s">
        <v>750</v>
      </c>
      <c r="B1104" s="39" t="s">
        <v>747</v>
      </c>
      <c r="C1104" s="40" t="s">
        <v>1702</v>
      </c>
      <c r="D1104" s="40" t="s">
        <v>96</v>
      </c>
      <c r="E1104" s="40" t="s">
        <v>7</v>
      </c>
      <c r="F1104" s="72">
        <v>1</v>
      </c>
    </row>
    <row r="1105" spans="1:6">
      <c r="A1105" s="40" t="s">
        <v>750</v>
      </c>
      <c r="B1105" s="39" t="s">
        <v>747</v>
      </c>
      <c r="C1105" s="40" t="s">
        <v>1703</v>
      </c>
      <c r="D1105" s="40" t="s">
        <v>96</v>
      </c>
      <c r="E1105" s="40" t="s">
        <v>7</v>
      </c>
      <c r="F1105" s="72">
        <v>1</v>
      </c>
    </row>
    <row r="1106" spans="1:6">
      <c r="A1106" s="40" t="s">
        <v>750</v>
      </c>
      <c r="B1106" s="39" t="s">
        <v>747</v>
      </c>
      <c r="C1106" s="40" t="s">
        <v>1704</v>
      </c>
      <c r="D1106" s="40" t="s">
        <v>772</v>
      </c>
      <c r="E1106" s="40" t="s">
        <v>7</v>
      </c>
      <c r="F1106" s="72">
        <v>1</v>
      </c>
    </row>
    <row r="1107" spans="1:6">
      <c r="A1107" s="40" t="s">
        <v>750</v>
      </c>
      <c r="B1107" s="39" t="s">
        <v>747</v>
      </c>
      <c r="C1107" s="40" t="s">
        <v>1705</v>
      </c>
      <c r="D1107" s="40" t="s">
        <v>95</v>
      </c>
      <c r="E1107" s="40" t="s">
        <v>7</v>
      </c>
      <c r="F1107" s="72">
        <v>1</v>
      </c>
    </row>
    <row r="1108" spans="1:6">
      <c r="A1108" s="40" t="s">
        <v>750</v>
      </c>
      <c r="B1108" s="39" t="s">
        <v>747</v>
      </c>
      <c r="C1108" s="40" t="s">
        <v>1706</v>
      </c>
      <c r="D1108" s="40" t="s">
        <v>96</v>
      </c>
      <c r="E1108" s="40" t="s">
        <v>7</v>
      </c>
      <c r="F1108" s="72">
        <v>1</v>
      </c>
    </row>
    <row r="1109" spans="1:6">
      <c r="A1109" s="40" t="s">
        <v>750</v>
      </c>
      <c r="B1109" s="39" t="s">
        <v>747</v>
      </c>
      <c r="C1109" s="40" t="s">
        <v>1707</v>
      </c>
      <c r="D1109" s="40" t="s">
        <v>220</v>
      </c>
      <c r="E1109" s="40" t="s">
        <v>7</v>
      </c>
      <c r="F1109" s="72">
        <v>1</v>
      </c>
    </row>
    <row r="1110" spans="1:6">
      <c r="A1110" s="40" t="s">
        <v>750</v>
      </c>
      <c r="B1110" s="39" t="s">
        <v>747</v>
      </c>
      <c r="C1110" s="40" t="s">
        <v>1708</v>
      </c>
      <c r="D1110" s="40" t="s">
        <v>49</v>
      </c>
      <c r="E1110" s="40" t="s">
        <v>7</v>
      </c>
      <c r="F1110" s="72">
        <v>1</v>
      </c>
    </row>
    <row r="1111" spans="1:6">
      <c r="A1111" s="40" t="s">
        <v>750</v>
      </c>
      <c r="B1111" s="39" t="s">
        <v>747</v>
      </c>
      <c r="C1111" s="40" t="s">
        <v>1709</v>
      </c>
      <c r="D1111" s="40" t="s">
        <v>96</v>
      </c>
      <c r="E1111" s="40" t="s">
        <v>7</v>
      </c>
      <c r="F1111" s="72">
        <v>1</v>
      </c>
    </row>
    <row r="1112" spans="1:6">
      <c r="A1112" s="40" t="s">
        <v>750</v>
      </c>
      <c r="B1112" s="39" t="s">
        <v>747</v>
      </c>
      <c r="C1112" s="40" t="s">
        <v>1710</v>
      </c>
      <c r="D1112" s="40" t="s">
        <v>96</v>
      </c>
      <c r="E1112" s="40" t="s">
        <v>7</v>
      </c>
      <c r="F1112" s="72">
        <v>1</v>
      </c>
    </row>
    <row r="1113" spans="1:6">
      <c r="A1113" s="40" t="s">
        <v>750</v>
      </c>
      <c r="B1113" s="39" t="s">
        <v>747</v>
      </c>
      <c r="C1113" s="40" t="s">
        <v>1711</v>
      </c>
      <c r="D1113" s="40" t="s">
        <v>96</v>
      </c>
      <c r="E1113" s="40" t="s">
        <v>7</v>
      </c>
      <c r="F1113" s="72">
        <v>1</v>
      </c>
    </row>
    <row r="1114" spans="1:6">
      <c r="A1114" s="40" t="s">
        <v>750</v>
      </c>
      <c r="B1114" s="39" t="s">
        <v>747</v>
      </c>
      <c r="C1114" s="40" t="s">
        <v>1712</v>
      </c>
      <c r="D1114" s="40" t="s">
        <v>96</v>
      </c>
      <c r="E1114" s="40" t="s">
        <v>7</v>
      </c>
      <c r="F1114" s="72">
        <v>1</v>
      </c>
    </row>
    <row r="1115" spans="1:6">
      <c r="A1115" s="40" t="s">
        <v>750</v>
      </c>
      <c r="B1115" s="39" t="s">
        <v>747</v>
      </c>
      <c r="C1115" s="40" t="s">
        <v>1713</v>
      </c>
      <c r="D1115" s="40" t="s">
        <v>96</v>
      </c>
      <c r="E1115" s="40" t="s">
        <v>7</v>
      </c>
      <c r="F1115" s="72">
        <v>1</v>
      </c>
    </row>
    <row r="1116" spans="1:6">
      <c r="A1116" s="40" t="s">
        <v>750</v>
      </c>
      <c r="B1116" s="39" t="s">
        <v>747</v>
      </c>
      <c r="C1116" s="40" t="s">
        <v>1714</v>
      </c>
      <c r="D1116" s="40" t="s">
        <v>96</v>
      </c>
      <c r="E1116" s="40" t="s">
        <v>7</v>
      </c>
      <c r="F1116" s="72">
        <v>1</v>
      </c>
    </row>
    <row r="1117" spans="1:6">
      <c r="A1117" s="40" t="s">
        <v>750</v>
      </c>
      <c r="B1117" s="39" t="s">
        <v>747</v>
      </c>
      <c r="C1117" s="40" t="s">
        <v>1715</v>
      </c>
      <c r="D1117" s="40" t="s">
        <v>96</v>
      </c>
      <c r="E1117" s="40" t="s">
        <v>7</v>
      </c>
      <c r="F1117" s="72">
        <v>1</v>
      </c>
    </row>
    <row r="1118" spans="1:6">
      <c r="A1118" s="40" t="s">
        <v>750</v>
      </c>
      <c r="B1118" s="39" t="s">
        <v>747</v>
      </c>
      <c r="C1118" s="40" t="s">
        <v>1716</v>
      </c>
      <c r="D1118" s="40" t="s">
        <v>96</v>
      </c>
      <c r="E1118" s="40" t="s">
        <v>7</v>
      </c>
      <c r="F1118" s="72">
        <v>1</v>
      </c>
    </row>
    <row r="1119" spans="1:6">
      <c r="A1119" s="40" t="s">
        <v>750</v>
      </c>
      <c r="B1119" s="39" t="s">
        <v>747</v>
      </c>
      <c r="C1119" s="40" t="s">
        <v>1717</v>
      </c>
      <c r="D1119" s="40" t="s">
        <v>96</v>
      </c>
      <c r="E1119" s="40" t="s">
        <v>7</v>
      </c>
      <c r="F1119" s="72">
        <v>1</v>
      </c>
    </row>
    <row r="1120" spans="1:6">
      <c r="A1120" s="40" t="s">
        <v>750</v>
      </c>
      <c r="B1120" s="39" t="s">
        <v>747</v>
      </c>
      <c r="C1120" s="40" t="s">
        <v>1718</v>
      </c>
      <c r="D1120" s="40" t="s">
        <v>96</v>
      </c>
      <c r="E1120" s="40" t="s">
        <v>7</v>
      </c>
      <c r="F1120" s="72">
        <v>1</v>
      </c>
    </row>
    <row r="1121" spans="1:6">
      <c r="A1121" s="40" t="s">
        <v>750</v>
      </c>
      <c r="B1121" s="39" t="s">
        <v>747</v>
      </c>
      <c r="C1121" s="40" t="s">
        <v>1719</v>
      </c>
      <c r="D1121" s="40" t="s">
        <v>1720</v>
      </c>
      <c r="E1121" s="40" t="s">
        <v>7</v>
      </c>
      <c r="F1121" s="72">
        <v>1</v>
      </c>
    </row>
    <row r="1122" spans="1:6">
      <c r="A1122" s="40" t="s">
        <v>750</v>
      </c>
      <c r="B1122" s="39" t="s">
        <v>747</v>
      </c>
      <c r="C1122" s="40" t="s">
        <v>1721</v>
      </c>
      <c r="D1122" s="40" t="s">
        <v>1720</v>
      </c>
      <c r="E1122" s="40" t="s">
        <v>7</v>
      </c>
      <c r="F1122" s="72">
        <v>1</v>
      </c>
    </row>
    <row r="1123" spans="1:6">
      <c r="A1123" s="40" t="s">
        <v>750</v>
      </c>
      <c r="B1123" s="39" t="s">
        <v>747</v>
      </c>
      <c r="C1123" s="40" t="s">
        <v>1722</v>
      </c>
      <c r="D1123" s="40" t="s">
        <v>1720</v>
      </c>
      <c r="E1123" s="40" t="s">
        <v>7</v>
      </c>
      <c r="F1123" s="72">
        <v>1</v>
      </c>
    </row>
    <row r="1124" spans="1:6">
      <c r="A1124" s="40" t="s">
        <v>750</v>
      </c>
      <c r="B1124" s="39" t="s">
        <v>747</v>
      </c>
      <c r="C1124" s="40" t="s">
        <v>1723</v>
      </c>
      <c r="D1124" s="40" t="s">
        <v>1671</v>
      </c>
      <c r="E1124" s="40" t="s">
        <v>7</v>
      </c>
      <c r="F1124" s="72">
        <v>1</v>
      </c>
    </row>
    <row r="1125" spans="1:6">
      <c r="A1125" s="40" t="s">
        <v>750</v>
      </c>
      <c r="B1125" s="39" t="s">
        <v>747</v>
      </c>
      <c r="C1125" s="40" t="s">
        <v>1724</v>
      </c>
      <c r="D1125" s="40" t="s">
        <v>1725</v>
      </c>
      <c r="E1125" s="40" t="s">
        <v>7</v>
      </c>
      <c r="F1125" s="72">
        <v>1</v>
      </c>
    </row>
    <row r="1126" spans="1:6">
      <c r="A1126" s="40" t="s">
        <v>750</v>
      </c>
      <c r="B1126" s="39" t="s">
        <v>747</v>
      </c>
      <c r="C1126" s="40" t="s">
        <v>1726</v>
      </c>
      <c r="D1126" s="40" t="s">
        <v>108</v>
      </c>
      <c r="E1126" s="40" t="s">
        <v>7</v>
      </c>
      <c r="F1126" s="72">
        <v>1</v>
      </c>
    </row>
    <row r="1127" spans="1:6">
      <c r="A1127" s="40" t="s">
        <v>750</v>
      </c>
      <c r="B1127" s="39" t="s">
        <v>747</v>
      </c>
      <c r="C1127" s="40" t="s">
        <v>1727</v>
      </c>
      <c r="D1127" s="40" t="s">
        <v>1728</v>
      </c>
      <c r="E1127" s="40" t="s">
        <v>7</v>
      </c>
      <c r="F1127" s="72">
        <v>1</v>
      </c>
    </row>
    <row r="1128" spans="1:6">
      <c r="A1128" s="40" t="s">
        <v>750</v>
      </c>
      <c r="B1128" s="39" t="s">
        <v>747</v>
      </c>
      <c r="C1128" s="40" t="s">
        <v>1729</v>
      </c>
      <c r="D1128" s="40" t="s">
        <v>123</v>
      </c>
      <c r="E1128" s="40" t="s">
        <v>7</v>
      </c>
      <c r="F1128" s="72">
        <v>1</v>
      </c>
    </row>
    <row r="1129" spans="1:6">
      <c r="A1129" s="40" t="s">
        <v>750</v>
      </c>
      <c r="B1129" s="39" t="s">
        <v>747</v>
      </c>
      <c r="C1129" s="40" t="s">
        <v>1730</v>
      </c>
      <c r="D1129" s="40" t="s">
        <v>123</v>
      </c>
      <c r="E1129" s="40" t="s">
        <v>7</v>
      </c>
      <c r="F1129" s="72">
        <v>1</v>
      </c>
    </row>
    <row r="1130" spans="1:6">
      <c r="A1130" s="40" t="s">
        <v>750</v>
      </c>
      <c r="B1130" s="39" t="s">
        <v>747</v>
      </c>
      <c r="C1130" s="40" t="s">
        <v>1731</v>
      </c>
      <c r="D1130" s="40" t="s">
        <v>123</v>
      </c>
      <c r="E1130" s="40" t="s">
        <v>7</v>
      </c>
      <c r="F1130" s="72">
        <v>1</v>
      </c>
    </row>
    <row r="1131" spans="1:6">
      <c r="A1131" s="40" t="s">
        <v>750</v>
      </c>
      <c r="B1131" s="39" t="s">
        <v>747</v>
      </c>
      <c r="C1131" s="40" t="s">
        <v>1732</v>
      </c>
      <c r="D1131" s="40" t="s">
        <v>123</v>
      </c>
      <c r="E1131" s="40" t="s">
        <v>7</v>
      </c>
      <c r="F1131" s="72">
        <v>1</v>
      </c>
    </row>
    <row r="1132" spans="1:6">
      <c r="A1132" s="40" t="s">
        <v>750</v>
      </c>
      <c r="B1132" s="39" t="s">
        <v>747</v>
      </c>
      <c r="C1132" s="40" t="s">
        <v>1733</v>
      </c>
      <c r="D1132" s="40" t="s">
        <v>123</v>
      </c>
      <c r="E1132" s="40" t="s">
        <v>7</v>
      </c>
      <c r="F1132" s="72">
        <v>1</v>
      </c>
    </row>
    <row r="1133" spans="1:6">
      <c r="A1133" s="40" t="s">
        <v>750</v>
      </c>
      <c r="B1133" s="39" t="s">
        <v>747</v>
      </c>
      <c r="C1133" s="40" t="s">
        <v>1734</v>
      </c>
      <c r="D1133" s="40" t="s">
        <v>123</v>
      </c>
      <c r="E1133" s="40" t="s">
        <v>7</v>
      </c>
      <c r="F1133" s="72">
        <v>1</v>
      </c>
    </row>
    <row r="1134" spans="1:6">
      <c r="A1134" s="40" t="s">
        <v>750</v>
      </c>
      <c r="B1134" s="39" t="s">
        <v>747</v>
      </c>
      <c r="C1134" s="40" t="s">
        <v>1735</v>
      </c>
      <c r="D1134" s="40" t="s">
        <v>123</v>
      </c>
      <c r="E1134" s="40" t="s">
        <v>7</v>
      </c>
      <c r="F1134" s="72">
        <v>1</v>
      </c>
    </row>
    <row r="1135" spans="1:6">
      <c r="A1135" s="40" t="s">
        <v>750</v>
      </c>
      <c r="B1135" s="39" t="s">
        <v>747</v>
      </c>
      <c r="C1135" s="40" t="s">
        <v>1736</v>
      </c>
      <c r="D1135" s="40" t="s">
        <v>123</v>
      </c>
      <c r="E1135" s="40" t="s">
        <v>7</v>
      </c>
      <c r="F1135" s="72">
        <v>1</v>
      </c>
    </row>
    <row r="1136" spans="1:6">
      <c r="A1136" s="40" t="s">
        <v>750</v>
      </c>
      <c r="B1136" s="39" t="s">
        <v>747</v>
      </c>
      <c r="C1136" s="40" t="s">
        <v>1737</v>
      </c>
      <c r="D1136" s="40" t="s">
        <v>123</v>
      </c>
      <c r="E1136" s="40" t="s">
        <v>7</v>
      </c>
      <c r="F1136" s="72">
        <v>1</v>
      </c>
    </row>
    <row r="1137" spans="1:6">
      <c r="A1137" s="40" t="s">
        <v>750</v>
      </c>
      <c r="B1137" s="39" t="s">
        <v>747</v>
      </c>
      <c r="C1137" s="40" t="s">
        <v>1738</v>
      </c>
      <c r="D1137" s="40" t="s">
        <v>123</v>
      </c>
      <c r="E1137" s="40" t="s">
        <v>7</v>
      </c>
      <c r="F1137" s="72">
        <v>1</v>
      </c>
    </row>
    <row r="1138" spans="1:6">
      <c r="A1138" s="40" t="s">
        <v>750</v>
      </c>
      <c r="B1138" s="39" t="s">
        <v>747</v>
      </c>
      <c r="C1138" s="40" t="s">
        <v>1739</v>
      </c>
      <c r="D1138" s="40" t="s">
        <v>123</v>
      </c>
      <c r="E1138" s="40" t="s">
        <v>7</v>
      </c>
      <c r="F1138" s="72">
        <v>1</v>
      </c>
    </row>
    <row r="1139" spans="1:6">
      <c r="A1139" s="40" t="s">
        <v>750</v>
      </c>
      <c r="B1139" s="39" t="s">
        <v>747</v>
      </c>
      <c r="C1139" s="40" t="s">
        <v>1740</v>
      </c>
      <c r="D1139" s="40" t="s">
        <v>123</v>
      </c>
      <c r="E1139" s="40" t="s">
        <v>7</v>
      </c>
      <c r="F1139" s="72">
        <v>1</v>
      </c>
    </row>
    <row r="1140" spans="1:6">
      <c r="A1140" s="40" t="s">
        <v>750</v>
      </c>
      <c r="B1140" s="39" t="s">
        <v>747</v>
      </c>
      <c r="C1140" s="40" t="s">
        <v>1741</v>
      </c>
      <c r="D1140" s="40" t="s">
        <v>123</v>
      </c>
      <c r="E1140" s="40" t="s">
        <v>7</v>
      </c>
      <c r="F1140" s="72">
        <v>1</v>
      </c>
    </row>
    <row r="1141" spans="1:6">
      <c r="A1141" s="40" t="s">
        <v>750</v>
      </c>
      <c r="B1141" s="39" t="s">
        <v>747</v>
      </c>
      <c r="C1141" s="40" t="s">
        <v>1742</v>
      </c>
      <c r="D1141" s="40" t="s">
        <v>123</v>
      </c>
      <c r="E1141" s="40" t="s">
        <v>7</v>
      </c>
      <c r="F1141" s="72">
        <v>1</v>
      </c>
    </row>
    <row r="1142" spans="1:6">
      <c r="A1142" s="40" t="s">
        <v>750</v>
      </c>
      <c r="B1142" s="39" t="s">
        <v>747</v>
      </c>
      <c r="C1142" s="40" t="s">
        <v>1743</v>
      </c>
      <c r="D1142" s="40" t="s">
        <v>123</v>
      </c>
      <c r="E1142" s="40" t="s">
        <v>7</v>
      </c>
      <c r="F1142" s="72">
        <v>1</v>
      </c>
    </row>
    <row r="1143" spans="1:6">
      <c r="A1143" s="40" t="s">
        <v>750</v>
      </c>
      <c r="B1143" s="39" t="s">
        <v>747</v>
      </c>
      <c r="C1143" s="40" t="s">
        <v>1744</v>
      </c>
      <c r="D1143" s="40" t="s">
        <v>123</v>
      </c>
      <c r="E1143" s="40" t="s">
        <v>7</v>
      </c>
      <c r="F1143" s="72">
        <v>1</v>
      </c>
    </row>
    <row r="1144" spans="1:6">
      <c r="A1144" s="40" t="s">
        <v>750</v>
      </c>
      <c r="B1144" s="39" t="s">
        <v>747</v>
      </c>
      <c r="C1144" s="40" t="s">
        <v>1745</v>
      </c>
      <c r="D1144" s="40" t="s">
        <v>123</v>
      </c>
      <c r="E1144" s="40" t="s">
        <v>7</v>
      </c>
      <c r="F1144" s="72">
        <v>1</v>
      </c>
    </row>
    <row r="1145" spans="1:6">
      <c r="A1145" s="40" t="s">
        <v>750</v>
      </c>
      <c r="B1145" s="39" t="s">
        <v>747</v>
      </c>
      <c r="C1145" s="40" t="s">
        <v>1746</v>
      </c>
      <c r="D1145" s="40" t="s">
        <v>123</v>
      </c>
      <c r="E1145" s="40" t="s">
        <v>7</v>
      </c>
      <c r="F1145" s="72">
        <v>1</v>
      </c>
    </row>
    <row r="1146" spans="1:6">
      <c r="A1146" s="40" t="s">
        <v>750</v>
      </c>
      <c r="B1146" s="39" t="s">
        <v>747</v>
      </c>
      <c r="C1146" s="40" t="s">
        <v>1747</v>
      </c>
      <c r="D1146" s="40" t="s">
        <v>123</v>
      </c>
      <c r="E1146" s="40" t="s">
        <v>7</v>
      </c>
      <c r="F1146" s="72">
        <v>1</v>
      </c>
    </row>
    <row r="1147" spans="1:6">
      <c r="A1147" s="40" t="s">
        <v>750</v>
      </c>
      <c r="B1147" s="39" t="s">
        <v>747</v>
      </c>
      <c r="C1147" s="40" t="s">
        <v>1748</v>
      </c>
      <c r="D1147" s="40" t="s">
        <v>123</v>
      </c>
      <c r="E1147" s="40" t="s">
        <v>7</v>
      </c>
      <c r="F1147" s="72">
        <v>1</v>
      </c>
    </row>
    <row r="1148" spans="1:6">
      <c r="A1148" s="40" t="s">
        <v>750</v>
      </c>
      <c r="B1148" s="39" t="s">
        <v>747</v>
      </c>
      <c r="C1148" s="40" t="s">
        <v>1749</v>
      </c>
      <c r="D1148" s="40" t="s">
        <v>123</v>
      </c>
      <c r="E1148" s="40" t="s">
        <v>7</v>
      </c>
      <c r="F1148" s="72">
        <v>1</v>
      </c>
    </row>
    <row r="1149" spans="1:6">
      <c r="A1149" s="40" t="s">
        <v>750</v>
      </c>
      <c r="B1149" s="39" t="s">
        <v>747</v>
      </c>
      <c r="C1149" s="40" t="s">
        <v>1750</v>
      </c>
      <c r="D1149" s="40" t="s">
        <v>123</v>
      </c>
      <c r="E1149" s="40" t="s">
        <v>7</v>
      </c>
      <c r="F1149" s="72">
        <v>1</v>
      </c>
    </row>
    <row r="1150" spans="1:6">
      <c r="A1150" s="40" t="s">
        <v>750</v>
      </c>
      <c r="B1150" s="39" t="s">
        <v>747</v>
      </c>
      <c r="C1150" s="40" t="s">
        <v>1751</v>
      </c>
      <c r="D1150" s="40" t="s">
        <v>123</v>
      </c>
      <c r="E1150" s="40" t="s">
        <v>7</v>
      </c>
      <c r="F1150" s="72">
        <v>1</v>
      </c>
    </row>
    <row r="1151" spans="1:6">
      <c r="A1151" s="40" t="s">
        <v>750</v>
      </c>
      <c r="B1151" s="39" t="s">
        <v>747</v>
      </c>
      <c r="C1151" s="40" t="s">
        <v>1752</v>
      </c>
      <c r="D1151" s="40" t="s">
        <v>123</v>
      </c>
      <c r="E1151" s="40" t="s">
        <v>7</v>
      </c>
      <c r="F1151" s="72">
        <v>1</v>
      </c>
    </row>
    <row r="1152" spans="1:6">
      <c r="A1152" s="40" t="s">
        <v>750</v>
      </c>
      <c r="B1152" s="39" t="s">
        <v>747</v>
      </c>
      <c r="C1152" s="40" t="s">
        <v>1753</v>
      </c>
      <c r="D1152" s="40" t="s">
        <v>123</v>
      </c>
      <c r="E1152" s="40" t="s">
        <v>7</v>
      </c>
      <c r="F1152" s="72">
        <v>1</v>
      </c>
    </row>
    <row r="1153" spans="1:6">
      <c r="A1153" s="40" t="s">
        <v>750</v>
      </c>
      <c r="B1153" s="39" t="s">
        <v>747</v>
      </c>
      <c r="C1153" s="40" t="s">
        <v>1754</v>
      </c>
      <c r="D1153" s="40" t="s">
        <v>123</v>
      </c>
      <c r="E1153" s="40" t="s">
        <v>7</v>
      </c>
      <c r="F1153" s="72">
        <v>1</v>
      </c>
    </row>
    <row r="1154" spans="1:6">
      <c r="A1154" s="40" t="s">
        <v>750</v>
      </c>
      <c r="B1154" s="39" t="s">
        <v>747</v>
      </c>
      <c r="C1154" s="40" t="s">
        <v>1755</v>
      </c>
      <c r="D1154" s="40" t="s">
        <v>123</v>
      </c>
      <c r="E1154" s="40" t="s">
        <v>7</v>
      </c>
      <c r="F1154" s="72">
        <v>1</v>
      </c>
    </row>
    <row r="1155" spans="1:6">
      <c r="A1155" s="40" t="s">
        <v>750</v>
      </c>
      <c r="B1155" s="39" t="s">
        <v>747</v>
      </c>
      <c r="C1155" s="40" t="s">
        <v>1756</v>
      </c>
      <c r="D1155" s="40" t="s">
        <v>123</v>
      </c>
      <c r="E1155" s="40" t="s">
        <v>7</v>
      </c>
      <c r="F1155" s="72">
        <v>1</v>
      </c>
    </row>
    <row r="1156" spans="1:6">
      <c r="A1156" s="40" t="s">
        <v>750</v>
      </c>
      <c r="B1156" s="39" t="s">
        <v>747</v>
      </c>
      <c r="C1156" s="40" t="s">
        <v>1757</v>
      </c>
      <c r="D1156" s="40" t="s">
        <v>123</v>
      </c>
      <c r="E1156" s="40" t="s">
        <v>7</v>
      </c>
      <c r="F1156" s="72">
        <v>1</v>
      </c>
    </row>
    <row r="1157" spans="1:6">
      <c r="A1157" s="40" t="s">
        <v>750</v>
      </c>
      <c r="B1157" s="39" t="s">
        <v>747</v>
      </c>
      <c r="C1157" s="40" t="s">
        <v>1758</v>
      </c>
      <c r="D1157" s="40" t="s">
        <v>123</v>
      </c>
      <c r="E1157" s="40" t="s">
        <v>7</v>
      </c>
      <c r="F1157" s="72">
        <v>1</v>
      </c>
    </row>
    <row r="1158" spans="1:6">
      <c r="A1158" s="40" t="s">
        <v>750</v>
      </c>
      <c r="B1158" s="39" t="s">
        <v>747</v>
      </c>
      <c r="C1158" s="40" t="s">
        <v>1759</v>
      </c>
      <c r="D1158" s="40" t="s">
        <v>123</v>
      </c>
      <c r="E1158" s="40" t="s">
        <v>7</v>
      </c>
      <c r="F1158" s="72">
        <v>1</v>
      </c>
    </row>
    <row r="1159" spans="1:6">
      <c r="A1159" s="40" t="s">
        <v>750</v>
      </c>
      <c r="B1159" s="39" t="s">
        <v>747</v>
      </c>
      <c r="C1159" s="40" t="s">
        <v>1760</v>
      </c>
      <c r="D1159" s="40" t="s">
        <v>123</v>
      </c>
      <c r="E1159" s="40" t="s">
        <v>7</v>
      </c>
      <c r="F1159" s="72">
        <v>1</v>
      </c>
    </row>
    <row r="1160" spans="1:6">
      <c r="A1160" s="40" t="s">
        <v>750</v>
      </c>
      <c r="B1160" s="39" t="s">
        <v>747</v>
      </c>
      <c r="C1160" s="40" t="s">
        <v>1761</v>
      </c>
      <c r="D1160" s="40" t="s">
        <v>123</v>
      </c>
      <c r="E1160" s="40" t="s">
        <v>7</v>
      </c>
      <c r="F1160" s="72">
        <v>1</v>
      </c>
    </row>
    <row r="1161" spans="1:6">
      <c r="A1161" s="40" t="s">
        <v>750</v>
      </c>
      <c r="B1161" s="39" t="s">
        <v>747</v>
      </c>
      <c r="C1161" s="40" t="s">
        <v>1762</v>
      </c>
      <c r="D1161" s="40" t="s">
        <v>123</v>
      </c>
      <c r="E1161" s="40" t="s">
        <v>7</v>
      </c>
      <c r="F1161" s="72">
        <v>1</v>
      </c>
    </row>
    <row r="1162" spans="1:6">
      <c r="A1162" s="40" t="s">
        <v>750</v>
      </c>
      <c r="B1162" s="39" t="s">
        <v>747</v>
      </c>
      <c r="C1162" s="40" t="s">
        <v>1763</v>
      </c>
      <c r="D1162" s="40" t="s">
        <v>123</v>
      </c>
      <c r="E1162" s="40" t="s">
        <v>7</v>
      </c>
      <c r="F1162" s="72">
        <v>1</v>
      </c>
    </row>
    <row r="1163" spans="1:6">
      <c r="A1163" s="40" t="s">
        <v>750</v>
      </c>
      <c r="B1163" s="39" t="s">
        <v>747</v>
      </c>
      <c r="C1163" s="40" t="s">
        <v>1764</v>
      </c>
      <c r="D1163" s="40" t="s">
        <v>123</v>
      </c>
      <c r="E1163" s="40" t="s">
        <v>7</v>
      </c>
      <c r="F1163" s="72">
        <v>1</v>
      </c>
    </row>
    <row r="1164" spans="1:6">
      <c r="A1164" s="40" t="s">
        <v>750</v>
      </c>
      <c r="B1164" s="39" t="s">
        <v>747</v>
      </c>
      <c r="C1164" s="40" t="s">
        <v>1765</v>
      </c>
      <c r="D1164" s="40" t="s">
        <v>123</v>
      </c>
      <c r="E1164" s="40" t="s">
        <v>7</v>
      </c>
      <c r="F1164" s="72">
        <v>1</v>
      </c>
    </row>
    <row r="1165" spans="1:6">
      <c r="A1165" s="40" t="s">
        <v>750</v>
      </c>
      <c r="B1165" s="39" t="s">
        <v>747</v>
      </c>
      <c r="C1165" s="40" t="s">
        <v>1766</v>
      </c>
      <c r="D1165" s="40" t="s">
        <v>123</v>
      </c>
      <c r="E1165" s="40" t="s">
        <v>7</v>
      </c>
      <c r="F1165" s="72">
        <v>1</v>
      </c>
    </row>
    <row r="1166" spans="1:6">
      <c r="A1166" s="40" t="s">
        <v>750</v>
      </c>
      <c r="B1166" s="39" t="s">
        <v>747</v>
      </c>
      <c r="C1166" s="40" t="s">
        <v>1767</v>
      </c>
      <c r="D1166" s="40" t="s">
        <v>123</v>
      </c>
      <c r="E1166" s="40" t="s">
        <v>7</v>
      </c>
      <c r="F1166" s="72">
        <v>1</v>
      </c>
    </row>
    <row r="1167" spans="1:6">
      <c r="A1167" s="40" t="s">
        <v>750</v>
      </c>
      <c r="B1167" s="39" t="s">
        <v>747</v>
      </c>
      <c r="C1167" s="40" t="s">
        <v>1768</v>
      </c>
      <c r="D1167" s="40" t="s">
        <v>123</v>
      </c>
      <c r="E1167" s="40" t="s">
        <v>7</v>
      </c>
      <c r="F1167" s="72">
        <v>1</v>
      </c>
    </row>
    <row r="1168" spans="1:6">
      <c r="A1168" s="40" t="s">
        <v>750</v>
      </c>
      <c r="B1168" s="39" t="s">
        <v>747</v>
      </c>
      <c r="C1168" s="40" t="s">
        <v>1769</v>
      </c>
      <c r="D1168" s="40" t="s">
        <v>123</v>
      </c>
      <c r="E1168" s="40" t="s">
        <v>7</v>
      </c>
      <c r="F1168" s="72">
        <v>1</v>
      </c>
    </row>
    <row r="1169" spans="1:6">
      <c r="A1169" s="40" t="s">
        <v>750</v>
      </c>
      <c r="B1169" s="39" t="s">
        <v>747</v>
      </c>
      <c r="C1169" s="40" t="s">
        <v>1770</v>
      </c>
      <c r="D1169" s="40" t="s">
        <v>123</v>
      </c>
      <c r="E1169" s="40" t="s">
        <v>7</v>
      </c>
      <c r="F1169" s="72">
        <v>1</v>
      </c>
    </row>
    <row r="1170" spans="1:6">
      <c r="A1170" s="40" t="s">
        <v>750</v>
      </c>
      <c r="B1170" s="39" t="s">
        <v>747</v>
      </c>
      <c r="C1170" s="40" t="s">
        <v>1771</v>
      </c>
      <c r="D1170" s="40" t="s">
        <v>123</v>
      </c>
      <c r="E1170" s="40" t="s">
        <v>7</v>
      </c>
      <c r="F1170" s="72">
        <v>1</v>
      </c>
    </row>
    <row r="1171" spans="1:6">
      <c r="A1171" s="40" t="s">
        <v>750</v>
      </c>
      <c r="B1171" s="39" t="s">
        <v>747</v>
      </c>
      <c r="C1171" s="40" t="s">
        <v>1772</v>
      </c>
      <c r="D1171" s="40" t="s">
        <v>123</v>
      </c>
      <c r="E1171" s="40" t="s">
        <v>7</v>
      </c>
      <c r="F1171" s="72">
        <v>1</v>
      </c>
    </row>
    <row r="1172" spans="1:6">
      <c r="A1172" s="40" t="s">
        <v>750</v>
      </c>
      <c r="B1172" s="39" t="s">
        <v>747</v>
      </c>
      <c r="C1172" s="40" t="s">
        <v>1773</v>
      </c>
      <c r="D1172" s="40" t="s">
        <v>123</v>
      </c>
      <c r="E1172" s="40" t="s">
        <v>7</v>
      </c>
      <c r="F1172" s="72">
        <v>1</v>
      </c>
    </row>
    <row r="1173" spans="1:6">
      <c r="A1173" s="40" t="s">
        <v>750</v>
      </c>
      <c r="B1173" s="39" t="s">
        <v>747</v>
      </c>
      <c r="C1173" s="40" t="s">
        <v>1774</v>
      </c>
      <c r="D1173" s="40" t="s">
        <v>123</v>
      </c>
      <c r="E1173" s="40" t="s">
        <v>7</v>
      </c>
      <c r="F1173" s="72">
        <v>1</v>
      </c>
    </row>
    <row r="1174" spans="1:6">
      <c r="A1174" s="40" t="s">
        <v>750</v>
      </c>
      <c r="B1174" s="39" t="s">
        <v>747</v>
      </c>
      <c r="C1174" s="40" t="s">
        <v>1775</v>
      </c>
      <c r="D1174" s="40" t="s">
        <v>123</v>
      </c>
      <c r="E1174" s="40" t="s">
        <v>7</v>
      </c>
      <c r="F1174" s="72">
        <v>1</v>
      </c>
    </row>
    <row r="1175" spans="1:6">
      <c r="A1175" s="40" t="s">
        <v>750</v>
      </c>
      <c r="B1175" s="39" t="s">
        <v>747</v>
      </c>
      <c r="C1175" s="40" t="s">
        <v>1776</v>
      </c>
      <c r="D1175" s="40" t="s">
        <v>123</v>
      </c>
      <c r="E1175" s="40" t="s">
        <v>7</v>
      </c>
      <c r="F1175" s="72">
        <v>1</v>
      </c>
    </row>
    <row r="1176" spans="1:6">
      <c r="A1176" s="40" t="s">
        <v>750</v>
      </c>
      <c r="B1176" s="39" t="s">
        <v>747</v>
      </c>
      <c r="C1176" s="40" t="s">
        <v>1777</v>
      </c>
      <c r="D1176" s="40" t="s">
        <v>123</v>
      </c>
      <c r="E1176" s="40" t="s">
        <v>7</v>
      </c>
      <c r="F1176" s="72">
        <v>1</v>
      </c>
    </row>
    <row r="1177" spans="1:6">
      <c r="A1177" s="40" t="s">
        <v>750</v>
      </c>
      <c r="B1177" s="39" t="s">
        <v>747</v>
      </c>
      <c r="C1177" s="40" t="s">
        <v>1778</v>
      </c>
      <c r="D1177" s="40" t="s">
        <v>821</v>
      </c>
      <c r="E1177" s="40" t="s">
        <v>7</v>
      </c>
      <c r="F1177" s="72">
        <v>1</v>
      </c>
    </row>
    <row r="1178" spans="1:6">
      <c r="A1178" s="40" t="s">
        <v>750</v>
      </c>
      <c r="B1178" s="39" t="s">
        <v>747</v>
      </c>
      <c r="C1178" s="40" t="s">
        <v>1779</v>
      </c>
      <c r="D1178" s="40" t="s">
        <v>95</v>
      </c>
      <c r="E1178" s="40" t="s">
        <v>7</v>
      </c>
      <c r="F1178" s="72">
        <v>1</v>
      </c>
    </row>
    <row r="1179" spans="1:6">
      <c r="A1179" s="40" t="s">
        <v>750</v>
      </c>
      <c r="B1179" s="39" t="s">
        <v>747</v>
      </c>
      <c r="C1179" s="40" t="s">
        <v>1780</v>
      </c>
      <c r="D1179" s="40" t="s">
        <v>1781</v>
      </c>
      <c r="E1179" s="40" t="s">
        <v>7</v>
      </c>
      <c r="F1179" s="72">
        <v>1</v>
      </c>
    </row>
    <row r="1180" spans="1:6">
      <c r="A1180" s="40" t="s">
        <v>750</v>
      </c>
      <c r="B1180" s="39" t="s">
        <v>747</v>
      </c>
      <c r="C1180" s="40" t="s">
        <v>1782</v>
      </c>
      <c r="D1180" s="40" t="s">
        <v>1783</v>
      </c>
      <c r="E1180" s="40" t="s">
        <v>7</v>
      </c>
      <c r="F1180" s="72">
        <v>1</v>
      </c>
    </row>
    <row r="1181" spans="1:6">
      <c r="A1181" s="40" t="s">
        <v>750</v>
      </c>
      <c r="B1181" s="39" t="s">
        <v>747</v>
      </c>
      <c r="C1181" s="40" t="s">
        <v>1784</v>
      </c>
      <c r="D1181" s="40" t="s">
        <v>1785</v>
      </c>
      <c r="E1181" s="40" t="s">
        <v>7</v>
      </c>
      <c r="F1181" s="72">
        <v>1</v>
      </c>
    </row>
    <row r="1182" spans="1:6">
      <c r="A1182" s="40" t="s">
        <v>750</v>
      </c>
      <c r="B1182" s="39" t="s">
        <v>747</v>
      </c>
      <c r="C1182" s="40" t="s">
        <v>1786</v>
      </c>
      <c r="D1182" s="40" t="s">
        <v>1785</v>
      </c>
      <c r="E1182" s="40" t="s">
        <v>7</v>
      </c>
      <c r="F1182" s="72">
        <v>1</v>
      </c>
    </row>
    <row r="1183" spans="1:6">
      <c r="A1183" s="40" t="s">
        <v>750</v>
      </c>
      <c r="B1183" s="39" t="s">
        <v>747</v>
      </c>
      <c r="C1183" s="40" t="s">
        <v>1787</v>
      </c>
      <c r="D1183" s="40" t="s">
        <v>1785</v>
      </c>
      <c r="E1183" s="40" t="s">
        <v>7</v>
      </c>
      <c r="F1183" s="72">
        <v>1</v>
      </c>
    </row>
    <row r="1184" spans="1:6">
      <c r="A1184" s="40" t="s">
        <v>750</v>
      </c>
      <c r="B1184" s="39" t="s">
        <v>747</v>
      </c>
      <c r="C1184" s="40" t="s">
        <v>1788</v>
      </c>
      <c r="D1184" s="40" t="s">
        <v>1785</v>
      </c>
      <c r="E1184" s="40" t="s">
        <v>7</v>
      </c>
      <c r="F1184" s="72">
        <v>1</v>
      </c>
    </row>
    <row r="1185" spans="1:6">
      <c r="A1185" s="40" t="s">
        <v>750</v>
      </c>
      <c r="B1185" s="39" t="s">
        <v>747</v>
      </c>
      <c r="C1185" s="40" t="s">
        <v>1789</v>
      </c>
      <c r="D1185" s="40" t="s">
        <v>1785</v>
      </c>
      <c r="E1185" s="40" t="s">
        <v>7</v>
      </c>
      <c r="F1185" s="72">
        <v>1</v>
      </c>
    </row>
    <row r="1186" spans="1:6">
      <c r="A1186" s="40" t="s">
        <v>750</v>
      </c>
      <c r="B1186" s="39" t="s">
        <v>747</v>
      </c>
      <c r="C1186" s="40" t="s">
        <v>1790</v>
      </c>
      <c r="D1186" s="40" t="s">
        <v>1785</v>
      </c>
      <c r="E1186" s="40" t="s">
        <v>7</v>
      </c>
      <c r="F1186" s="72">
        <v>1</v>
      </c>
    </row>
    <row r="1187" spans="1:6">
      <c r="A1187" s="40" t="s">
        <v>750</v>
      </c>
      <c r="B1187" s="39" t="s">
        <v>747</v>
      </c>
      <c r="C1187" s="40" t="s">
        <v>1791</v>
      </c>
      <c r="D1187" s="40" t="s">
        <v>1785</v>
      </c>
      <c r="E1187" s="40" t="s">
        <v>7</v>
      </c>
      <c r="F1187" s="72">
        <v>1</v>
      </c>
    </row>
    <row r="1188" spans="1:6">
      <c r="A1188" s="40" t="s">
        <v>750</v>
      </c>
      <c r="B1188" s="39" t="s">
        <v>747</v>
      </c>
      <c r="C1188" s="40" t="s">
        <v>1792</v>
      </c>
      <c r="D1188" s="40" t="s">
        <v>1785</v>
      </c>
      <c r="E1188" s="40" t="s">
        <v>7</v>
      </c>
      <c r="F1188" s="72">
        <v>1</v>
      </c>
    </row>
    <row r="1189" spans="1:6">
      <c r="A1189" s="40" t="s">
        <v>750</v>
      </c>
      <c r="B1189" s="39" t="s">
        <v>747</v>
      </c>
      <c r="C1189" s="40" t="s">
        <v>1793</v>
      </c>
      <c r="D1189" s="40" t="s">
        <v>1785</v>
      </c>
      <c r="E1189" s="40" t="s">
        <v>7</v>
      </c>
      <c r="F1189" s="72">
        <v>1</v>
      </c>
    </row>
    <row r="1190" spans="1:6">
      <c r="A1190" s="40" t="s">
        <v>750</v>
      </c>
      <c r="B1190" s="39" t="s">
        <v>747</v>
      </c>
      <c r="C1190" s="40" t="s">
        <v>1794</v>
      </c>
      <c r="D1190" s="40" t="s">
        <v>1785</v>
      </c>
      <c r="E1190" s="40" t="s">
        <v>7</v>
      </c>
      <c r="F1190" s="72">
        <v>1</v>
      </c>
    </row>
    <row r="1191" spans="1:6">
      <c r="A1191" s="40" t="s">
        <v>750</v>
      </c>
      <c r="B1191" s="39" t="s">
        <v>747</v>
      </c>
      <c r="C1191" s="40" t="s">
        <v>1795</v>
      </c>
      <c r="D1191" s="40" t="s">
        <v>1785</v>
      </c>
      <c r="E1191" s="40" t="s">
        <v>7</v>
      </c>
      <c r="F1191" s="72">
        <v>1</v>
      </c>
    </row>
    <row r="1192" spans="1:6">
      <c r="A1192" s="40" t="s">
        <v>750</v>
      </c>
      <c r="B1192" s="39" t="s">
        <v>747</v>
      </c>
      <c r="C1192" s="40" t="s">
        <v>1796</v>
      </c>
      <c r="D1192" s="40" t="s">
        <v>1785</v>
      </c>
      <c r="E1192" s="40" t="s">
        <v>7</v>
      </c>
      <c r="F1192" s="72">
        <v>1</v>
      </c>
    </row>
    <row r="1193" spans="1:6">
      <c r="A1193" s="40" t="s">
        <v>750</v>
      </c>
      <c r="B1193" s="39" t="s">
        <v>747</v>
      </c>
      <c r="C1193" s="40" t="s">
        <v>1797</v>
      </c>
      <c r="D1193" s="40" t="s">
        <v>1785</v>
      </c>
      <c r="E1193" s="40" t="s">
        <v>7</v>
      </c>
      <c r="F1193" s="72">
        <v>1</v>
      </c>
    </row>
    <row r="1194" spans="1:6">
      <c r="A1194" s="40" t="s">
        <v>750</v>
      </c>
      <c r="B1194" s="39" t="s">
        <v>747</v>
      </c>
      <c r="C1194" s="40" t="s">
        <v>1798</v>
      </c>
      <c r="D1194" s="40" t="s">
        <v>1785</v>
      </c>
      <c r="E1194" s="40" t="s">
        <v>7</v>
      </c>
      <c r="F1194" s="72">
        <v>1</v>
      </c>
    </row>
    <row r="1195" spans="1:6">
      <c r="A1195" s="40" t="s">
        <v>750</v>
      </c>
      <c r="B1195" s="39" t="s">
        <v>747</v>
      </c>
      <c r="C1195" s="40" t="s">
        <v>1799</v>
      </c>
      <c r="D1195" s="40" t="s">
        <v>1785</v>
      </c>
      <c r="E1195" s="40" t="s">
        <v>7</v>
      </c>
      <c r="F1195" s="72">
        <v>1</v>
      </c>
    </row>
    <row r="1196" spans="1:6">
      <c r="A1196" s="40" t="s">
        <v>750</v>
      </c>
      <c r="B1196" s="39" t="s">
        <v>747</v>
      </c>
      <c r="C1196" s="40" t="s">
        <v>1800</v>
      </c>
      <c r="D1196" s="40" t="s">
        <v>1785</v>
      </c>
      <c r="E1196" s="40" t="s">
        <v>7</v>
      </c>
      <c r="F1196" s="72">
        <v>1</v>
      </c>
    </row>
    <row r="1197" spans="1:6">
      <c r="A1197" s="40" t="s">
        <v>750</v>
      </c>
      <c r="B1197" s="39" t="s">
        <v>747</v>
      </c>
      <c r="C1197" s="40" t="s">
        <v>1801</v>
      </c>
      <c r="D1197" s="40" t="s">
        <v>1785</v>
      </c>
      <c r="E1197" s="40" t="s">
        <v>7</v>
      </c>
      <c r="F1197" s="72">
        <v>1</v>
      </c>
    </row>
    <row r="1198" spans="1:6">
      <c r="A1198" s="40" t="s">
        <v>750</v>
      </c>
      <c r="B1198" s="39" t="s">
        <v>747</v>
      </c>
      <c r="C1198" s="40" t="s">
        <v>1802</v>
      </c>
      <c r="D1198" s="40" t="s">
        <v>1785</v>
      </c>
      <c r="E1198" s="40" t="s">
        <v>7</v>
      </c>
      <c r="F1198" s="72">
        <v>1</v>
      </c>
    </row>
    <row r="1199" spans="1:6">
      <c r="A1199" s="40" t="s">
        <v>750</v>
      </c>
      <c r="B1199" s="39" t="s">
        <v>747</v>
      </c>
      <c r="C1199" s="40" t="s">
        <v>1803</v>
      </c>
      <c r="D1199" s="40" t="s">
        <v>1785</v>
      </c>
      <c r="E1199" s="40" t="s">
        <v>7</v>
      </c>
      <c r="F1199" s="72">
        <v>1</v>
      </c>
    </row>
    <row r="1200" spans="1:6">
      <c r="A1200" s="40" t="s">
        <v>750</v>
      </c>
      <c r="B1200" s="39" t="s">
        <v>747</v>
      </c>
      <c r="C1200" s="40" t="s">
        <v>1804</v>
      </c>
      <c r="D1200" s="40" t="s">
        <v>1785</v>
      </c>
      <c r="E1200" s="40" t="s">
        <v>7</v>
      </c>
      <c r="F1200" s="72">
        <v>1</v>
      </c>
    </row>
    <row r="1201" spans="1:6">
      <c r="A1201" s="40" t="s">
        <v>750</v>
      </c>
      <c r="B1201" s="39" t="s">
        <v>747</v>
      </c>
      <c r="C1201" s="40" t="s">
        <v>1805</v>
      </c>
      <c r="D1201" s="40" t="s">
        <v>1785</v>
      </c>
      <c r="E1201" s="40" t="s">
        <v>7</v>
      </c>
      <c r="F1201" s="72">
        <v>1</v>
      </c>
    </row>
    <row r="1202" spans="1:6">
      <c r="A1202" s="40" t="s">
        <v>750</v>
      </c>
      <c r="B1202" s="39" t="s">
        <v>747</v>
      </c>
      <c r="C1202" s="40" t="s">
        <v>1806</v>
      </c>
      <c r="D1202" s="40" t="s">
        <v>1785</v>
      </c>
      <c r="E1202" s="40" t="s">
        <v>7</v>
      </c>
      <c r="F1202" s="72">
        <v>1</v>
      </c>
    </row>
    <row r="1203" spans="1:6">
      <c r="A1203" s="40" t="s">
        <v>750</v>
      </c>
      <c r="B1203" s="39" t="s">
        <v>747</v>
      </c>
      <c r="C1203" s="40" t="s">
        <v>1807</v>
      </c>
      <c r="D1203" s="40" t="s">
        <v>1785</v>
      </c>
      <c r="E1203" s="40" t="s">
        <v>7</v>
      </c>
      <c r="F1203" s="72">
        <v>1</v>
      </c>
    </row>
    <row r="1204" spans="1:6">
      <c r="A1204" s="40" t="s">
        <v>750</v>
      </c>
      <c r="B1204" s="39" t="s">
        <v>747</v>
      </c>
      <c r="C1204" s="40" t="s">
        <v>1808</v>
      </c>
      <c r="D1204" s="40" t="s">
        <v>1785</v>
      </c>
      <c r="E1204" s="40" t="s">
        <v>7</v>
      </c>
      <c r="F1204" s="72">
        <v>1</v>
      </c>
    </row>
    <row r="1205" spans="1:6">
      <c r="A1205" s="40" t="s">
        <v>750</v>
      </c>
      <c r="B1205" s="39" t="s">
        <v>747</v>
      </c>
      <c r="C1205" s="40" t="s">
        <v>1809</v>
      </c>
      <c r="D1205" s="40" t="s">
        <v>1785</v>
      </c>
      <c r="E1205" s="40" t="s">
        <v>7</v>
      </c>
      <c r="F1205" s="72">
        <v>1</v>
      </c>
    </row>
    <row r="1206" spans="1:6">
      <c r="A1206" s="40" t="s">
        <v>750</v>
      </c>
      <c r="B1206" s="39" t="s">
        <v>747</v>
      </c>
      <c r="C1206" s="40" t="s">
        <v>1810</v>
      </c>
      <c r="D1206" s="40" t="s">
        <v>1785</v>
      </c>
      <c r="E1206" s="40" t="s">
        <v>7</v>
      </c>
      <c r="F1206" s="72">
        <v>1</v>
      </c>
    </row>
    <row r="1207" spans="1:6">
      <c r="A1207" s="40" t="s">
        <v>750</v>
      </c>
      <c r="B1207" s="39" t="s">
        <v>747</v>
      </c>
      <c r="C1207" s="40" t="s">
        <v>1811</v>
      </c>
      <c r="D1207" s="40" t="s">
        <v>1785</v>
      </c>
      <c r="E1207" s="40" t="s">
        <v>7</v>
      </c>
      <c r="F1207" s="72">
        <v>1</v>
      </c>
    </row>
    <row r="1208" spans="1:6">
      <c r="A1208" s="40" t="s">
        <v>750</v>
      </c>
      <c r="B1208" s="39" t="s">
        <v>747</v>
      </c>
      <c r="C1208" s="40" t="s">
        <v>1812</v>
      </c>
      <c r="D1208" s="40" t="s">
        <v>1785</v>
      </c>
      <c r="E1208" s="40" t="s">
        <v>7</v>
      </c>
      <c r="F1208" s="72">
        <v>1</v>
      </c>
    </row>
    <row r="1209" spans="1:6">
      <c r="A1209" s="40" t="s">
        <v>750</v>
      </c>
      <c r="B1209" s="39" t="s">
        <v>747</v>
      </c>
      <c r="C1209" s="40" t="s">
        <v>1813</v>
      </c>
      <c r="D1209" s="40" t="s">
        <v>1785</v>
      </c>
      <c r="E1209" s="40" t="s">
        <v>7</v>
      </c>
      <c r="F1209" s="72">
        <v>1</v>
      </c>
    </row>
    <row r="1210" spans="1:6">
      <c r="A1210" s="40" t="s">
        <v>750</v>
      </c>
      <c r="B1210" s="39" t="s">
        <v>747</v>
      </c>
      <c r="C1210" s="40" t="s">
        <v>1814</v>
      </c>
      <c r="D1210" s="40" t="s">
        <v>1785</v>
      </c>
      <c r="E1210" s="40" t="s">
        <v>7</v>
      </c>
      <c r="F1210" s="72">
        <v>1</v>
      </c>
    </row>
    <row r="1211" spans="1:6">
      <c r="A1211" s="40" t="s">
        <v>750</v>
      </c>
      <c r="B1211" s="39" t="s">
        <v>747</v>
      </c>
      <c r="C1211" s="40" t="s">
        <v>1815</v>
      </c>
      <c r="D1211" s="40" t="s">
        <v>1785</v>
      </c>
      <c r="E1211" s="40" t="s">
        <v>7</v>
      </c>
      <c r="F1211" s="72">
        <v>1</v>
      </c>
    </row>
    <row r="1212" spans="1:6">
      <c r="A1212" s="40" t="s">
        <v>750</v>
      </c>
      <c r="B1212" s="39" t="s">
        <v>747</v>
      </c>
      <c r="C1212" s="40" t="s">
        <v>1816</v>
      </c>
      <c r="D1212" s="40" t="s">
        <v>1785</v>
      </c>
      <c r="E1212" s="40" t="s">
        <v>7</v>
      </c>
      <c r="F1212" s="72">
        <v>1</v>
      </c>
    </row>
    <row r="1213" spans="1:6">
      <c r="A1213" s="40" t="s">
        <v>750</v>
      </c>
      <c r="B1213" s="39" t="s">
        <v>747</v>
      </c>
      <c r="C1213" s="40" t="s">
        <v>1817</v>
      </c>
      <c r="D1213" s="40" t="s">
        <v>1785</v>
      </c>
      <c r="E1213" s="40" t="s">
        <v>7</v>
      </c>
      <c r="F1213" s="72">
        <v>1</v>
      </c>
    </row>
    <row r="1214" spans="1:6">
      <c r="A1214" s="40" t="s">
        <v>750</v>
      </c>
      <c r="B1214" s="39" t="s">
        <v>747</v>
      </c>
      <c r="C1214" s="40" t="s">
        <v>1818</v>
      </c>
      <c r="D1214" s="40" t="s">
        <v>1785</v>
      </c>
      <c r="E1214" s="40" t="s">
        <v>7</v>
      </c>
      <c r="F1214" s="72">
        <v>1</v>
      </c>
    </row>
    <row r="1215" spans="1:6">
      <c r="A1215" s="40" t="s">
        <v>750</v>
      </c>
      <c r="B1215" s="39" t="s">
        <v>747</v>
      </c>
      <c r="C1215" s="40" t="s">
        <v>1819</v>
      </c>
      <c r="D1215" s="40" t="s">
        <v>1785</v>
      </c>
      <c r="E1215" s="40" t="s">
        <v>7</v>
      </c>
      <c r="F1215" s="72">
        <v>1</v>
      </c>
    </row>
    <row r="1216" spans="1:6">
      <c r="A1216" s="40" t="s">
        <v>750</v>
      </c>
      <c r="B1216" s="39" t="s">
        <v>747</v>
      </c>
      <c r="C1216" s="40" t="s">
        <v>1820</v>
      </c>
      <c r="D1216" s="40" t="s">
        <v>1785</v>
      </c>
      <c r="E1216" s="40" t="s">
        <v>7</v>
      </c>
      <c r="F1216" s="72">
        <v>1</v>
      </c>
    </row>
    <row r="1217" spans="1:6">
      <c r="A1217" s="40" t="s">
        <v>750</v>
      </c>
      <c r="B1217" s="39" t="s">
        <v>747</v>
      </c>
      <c r="C1217" s="40" t="s">
        <v>1821</v>
      </c>
      <c r="D1217" s="40" t="s">
        <v>1785</v>
      </c>
      <c r="E1217" s="40" t="s">
        <v>7</v>
      </c>
      <c r="F1217" s="72">
        <v>1</v>
      </c>
    </row>
    <row r="1218" spans="1:6">
      <c r="A1218" s="40" t="s">
        <v>750</v>
      </c>
      <c r="B1218" s="39" t="s">
        <v>747</v>
      </c>
      <c r="C1218" s="40" t="s">
        <v>1822</v>
      </c>
      <c r="D1218" s="40" t="s">
        <v>1785</v>
      </c>
      <c r="E1218" s="40" t="s">
        <v>7</v>
      </c>
      <c r="F1218" s="72">
        <v>1</v>
      </c>
    </row>
    <row r="1219" spans="1:6">
      <c r="A1219" s="40" t="s">
        <v>750</v>
      </c>
      <c r="B1219" s="39" t="s">
        <v>747</v>
      </c>
      <c r="C1219" s="40" t="s">
        <v>1823</v>
      </c>
      <c r="D1219" s="40" t="s">
        <v>1785</v>
      </c>
      <c r="E1219" s="40" t="s">
        <v>7</v>
      </c>
      <c r="F1219" s="72">
        <v>1</v>
      </c>
    </row>
    <row r="1220" spans="1:6">
      <c r="A1220" s="40" t="s">
        <v>750</v>
      </c>
      <c r="B1220" s="39" t="s">
        <v>747</v>
      </c>
      <c r="C1220" s="40" t="s">
        <v>1824</v>
      </c>
      <c r="D1220" s="40" t="s">
        <v>1785</v>
      </c>
      <c r="E1220" s="40" t="s">
        <v>7</v>
      </c>
      <c r="F1220" s="72">
        <v>1</v>
      </c>
    </row>
    <row r="1221" spans="1:6">
      <c r="A1221" s="40" t="s">
        <v>750</v>
      </c>
      <c r="B1221" s="39" t="s">
        <v>747</v>
      </c>
      <c r="C1221" s="40" t="s">
        <v>1825</v>
      </c>
      <c r="D1221" s="40" t="s">
        <v>1785</v>
      </c>
      <c r="E1221" s="40" t="s">
        <v>7</v>
      </c>
      <c r="F1221" s="72">
        <v>1</v>
      </c>
    </row>
    <row r="1222" spans="1:6">
      <c r="A1222" s="40" t="s">
        <v>750</v>
      </c>
      <c r="B1222" s="39" t="s">
        <v>747</v>
      </c>
      <c r="C1222" s="40" t="s">
        <v>1826</v>
      </c>
      <c r="D1222" s="40" t="s">
        <v>1785</v>
      </c>
      <c r="E1222" s="40" t="s">
        <v>7</v>
      </c>
      <c r="F1222" s="72">
        <v>1</v>
      </c>
    </row>
    <row r="1223" spans="1:6">
      <c r="A1223" s="40" t="s">
        <v>750</v>
      </c>
      <c r="B1223" s="39" t="s">
        <v>747</v>
      </c>
      <c r="C1223" s="40" t="s">
        <v>1827</v>
      </c>
      <c r="D1223" s="40" t="s">
        <v>1785</v>
      </c>
      <c r="E1223" s="40" t="s">
        <v>7</v>
      </c>
      <c r="F1223" s="72">
        <v>1</v>
      </c>
    </row>
    <row r="1224" spans="1:6">
      <c r="A1224" s="40" t="s">
        <v>750</v>
      </c>
      <c r="B1224" s="39" t="s">
        <v>747</v>
      </c>
      <c r="C1224" s="40" t="s">
        <v>1828</v>
      </c>
      <c r="D1224" s="40" t="s">
        <v>1785</v>
      </c>
      <c r="E1224" s="40" t="s">
        <v>7</v>
      </c>
      <c r="F1224" s="72">
        <v>1</v>
      </c>
    </row>
    <row r="1225" spans="1:6">
      <c r="A1225" s="40" t="s">
        <v>750</v>
      </c>
      <c r="B1225" s="39" t="s">
        <v>747</v>
      </c>
      <c r="C1225" s="40" t="s">
        <v>1829</v>
      </c>
      <c r="D1225" s="40" t="s">
        <v>1785</v>
      </c>
      <c r="E1225" s="40" t="s">
        <v>7</v>
      </c>
      <c r="F1225" s="72">
        <v>1</v>
      </c>
    </row>
    <row r="1226" spans="1:6">
      <c r="A1226" s="40" t="s">
        <v>750</v>
      </c>
      <c r="B1226" s="39" t="s">
        <v>747</v>
      </c>
      <c r="C1226" s="40" t="s">
        <v>1830</v>
      </c>
      <c r="D1226" s="40" t="s">
        <v>1785</v>
      </c>
      <c r="E1226" s="40" t="s">
        <v>7</v>
      </c>
      <c r="F1226" s="72">
        <v>1</v>
      </c>
    </row>
    <row r="1227" spans="1:6">
      <c r="A1227" s="40" t="s">
        <v>750</v>
      </c>
      <c r="B1227" s="39" t="s">
        <v>747</v>
      </c>
      <c r="C1227" s="40" t="s">
        <v>1831</v>
      </c>
      <c r="D1227" s="40" t="s">
        <v>1785</v>
      </c>
      <c r="E1227" s="40" t="s">
        <v>7</v>
      </c>
      <c r="F1227" s="72">
        <v>1</v>
      </c>
    </row>
    <row r="1228" spans="1:6">
      <c r="A1228" s="40" t="s">
        <v>750</v>
      </c>
      <c r="B1228" s="39" t="s">
        <v>747</v>
      </c>
      <c r="C1228" s="40" t="s">
        <v>1832</v>
      </c>
      <c r="D1228" s="40" t="s">
        <v>1785</v>
      </c>
      <c r="E1228" s="40" t="s">
        <v>7</v>
      </c>
      <c r="F1228" s="72">
        <v>1</v>
      </c>
    </row>
    <row r="1229" spans="1:6">
      <c r="A1229" s="40" t="s">
        <v>750</v>
      </c>
      <c r="B1229" s="39" t="s">
        <v>747</v>
      </c>
      <c r="C1229" s="40" t="s">
        <v>1833</v>
      </c>
      <c r="D1229" s="40" t="s">
        <v>1785</v>
      </c>
      <c r="E1229" s="40" t="s">
        <v>7</v>
      </c>
      <c r="F1229" s="72">
        <v>1</v>
      </c>
    </row>
    <row r="1230" spans="1:6">
      <c r="A1230" s="40" t="s">
        <v>750</v>
      </c>
      <c r="B1230" s="39" t="s">
        <v>747</v>
      </c>
      <c r="C1230" s="40" t="s">
        <v>1834</v>
      </c>
      <c r="D1230" s="40" t="s">
        <v>1785</v>
      </c>
      <c r="E1230" s="40" t="s">
        <v>7</v>
      </c>
      <c r="F1230" s="72">
        <v>1</v>
      </c>
    </row>
    <row r="1231" spans="1:6">
      <c r="A1231" s="40" t="s">
        <v>750</v>
      </c>
      <c r="B1231" s="39" t="s">
        <v>747</v>
      </c>
      <c r="C1231" s="40" t="s">
        <v>1835</v>
      </c>
      <c r="D1231" s="40" t="s">
        <v>1836</v>
      </c>
      <c r="E1231" s="40" t="s">
        <v>7</v>
      </c>
      <c r="F1231" s="72">
        <v>1</v>
      </c>
    </row>
    <row r="1232" spans="1:6">
      <c r="A1232" s="40" t="s">
        <v>750</v>
      </c>
      <c r="B1232" s="39" t="s">
        <v>747</v>
      </c>
      <c r="C1232" s="40" t="s">
        <v>1837</v>
      </c>
      <c r="D1232" s="40" t="s">
        <v>1838</v>
      </c>
      <c r="E1232" s="40" t="s">
        <v>7</v>
      </c>
      <c r="F1232" s="72">
        <v>1</v>
      </c>
    </row>
    <row r="1233" s="40" customFormat="1" spans="1:6">
      <c r="A1233" s="40" t="s">
        <v>750</v>
      </c>
      <c r="B1233" s="39" t="s">
        <v>747</v>
      </c>
      <c r="C1233" s="40" t="s">
        <v>1839</v>
      </c>
      <c r="D1233" s="40" t="s">
        <v>861</v>
      </c>
      <c r="E1233" s="40" t="s">
        <v>7</v>
      </c>
      <c r="F1233" s="72">
        <v>1</v>
      </c>
    </row>
    <row r="1234" s="40" customFormat="1" spans="1:6">
      <c r="A1234" s="40" t="s">
        <v>750</v>
      </c>
      <c r="B1234" s="39" t="s">
        <v>747</v>
      </c>
      <c r="C1234" s="40" t="s">
        <v>1840</v>
      </c>
      <c r="D1234" s="40" t="s">
        <v>861</v>
      </c>
      <c r="E1234" s="40" t="s">
        <v>7</v>
      </c>
      <c r="F1234" s="72">
        <v>1</v>
      </c>
    </row>
    <row r="1235" s="40" customFormat="1" spans="1:6">
      <c r="A1235" s="40" t="s">
        <v>750</v>
      </c>
      <c r="B1235" s="39" t="s">
        <v>747</v>
      </c>
      <c r="C1235" s="40" t="s">
        <v>1841</v>
      </c>
      <c r="D1235" s="40" t="s">
        <v>861</v>
      </c>
      <c r="E1235" s="40" t="s">
        <v>7</v>
      </c>
      <c r="F1235" s="72">
        <v>1</v>
      </c>
    </row>
    <row r="1236" s="40" customFormat="1" spans="1:6">
      <c r="A1236" s="40" t="s">
        <v>750</v>
      </c>
      <c r="B1236" s="39" t="s">
        <v>747</v>
      </c>
      <c r="C1236" s="40" t="s">
        <v>1842</v>
      </c>
      <c r="D1236" s="40" t="s">
        <v>861</v>
      </c>
      <c r="E1236" s="40" t="s">
        <v>7</v>
      </c>
      <c r="F1236" s="72">
        <v>1</v>
      </c>
    </row>
    <row r="1237" s="40" customFormat="1" spans="1:6">
      <c r="A1237" s="40" t="s">
        <v>750</v>
      </c>
      <c r="B1237" s="39" t="s">
        <v>747</v>
      </c>
      <c r="C1237" s="40" t="s">
        <v>1843</v>
      </c>
      <c r="D1237" s="40" t="s">
        <v>96</v>
      </c>
      <c r="E1237" s="40" t="s">
        <v>7</v>
      </c>
      <c r="F1237" s="72">
        <v>1</v>
      </c>
    </row>
    <row r="1238" s="40" customFormat="1" spans="1:6">
      <c r="A1238" s="40" t="s">
        <v>750</v>
      </c>
      <c r="B1238" s="39" t="s">
        <v>747</v>
      </c>
      <c r="C1238" s="40" t="s">
        <v>1844</v>
      </c>
      <c r="D1238" s="40" t="s">
        <v>96</v>
      </c>
      <c r="E1238" s="40" t="s">
        <v>7</v>
      </c>
      <c r="F1238" s="72">
        <v>1</v>
      </c>
    </row>
    <row r="1239" s="40" customFormat="1" spans="1:6">
      <c r="A1239" s="40" t="s">
        <v>750</v>
      </c>
      <c r="B1239" s="39" t="s">
        <v>747</v>
      </c>
      <c r="C1239" s="40" t="s">
        <v>1845</v>
      </c>
      <c r="D1239" s="40" t="s">
        <v>96</v>
      </c>
      <c r="E1239" s="40" t="s">
        <v>7</v>
      </c>
      <c r="F1239" s="72">
        <v>1</v>
      </c>
    </row>
    <row r="1240" s="40" customFormat="1" spans="1:6">
      <c r="A1240" s="40" t="s">
        <v>750</v>
      </c>
      <c r="B1240" s="39" t="s">
        <v>747</v>
      </c>
      <c r="C1240" s="40" t="s">
        <v>1846</v>
      </c>
      <c r="D1240" s="40" t="s">
        <v>96</v>
      </c>
      <c r="E1240" s="40" t="s">
        <v>7</v>
      </c>
      <c r="F1240" s="72">
        <v>1</v>
      </c>
    </row>
    <row r="1241" s="40" customFormat="1" spans="1:6">
      <c r="A1241" s="40" t="s">
        <v>750</v>
      </c>
      <c r="B1241" s="39" t="s">
        <v>747</v>
      </c>
      <c r="C1241" s="40" t="s">
        <v>1847</v>
      </c>
      <c r="D1241" s="40" t="s">
        <v>96</v>
      </c>
      <c r="E1241" s="40" t="s">
        <v>7</v>
      </c>
      <c r="F1241" s="72">
        <v>1</v>
      </c>
    </row>
    <row r="1242" s="40" customFormat="1" spans="1:6">
      <c r="A1242" s="40" t="s">
        <v>750</v>
      </c>
      <c r="B1242" s="39" t="s">
        <v>747</v>
      </c>
      <c r="C1242" s="40" t="s">
        <v>1848</v>
      </c>
      <c r="D1242" s="40" t="s">
        <v>96</v>
      </c>
      <c r="E1242" s="40" t="s">
        <v>7</v>
      </c>
      <c r="F1242" s="72">
        <v>1</v>
      </c>
    </row>
    <row r="1243" s="40" customFormat="1" spans="1:6">
      <c r="A1243" s="40" t="s">
        <v>750</v>
      </c>
      <c r="B1243" s="39" t="s">
        <v>747</v>
      </c>
      <c r="C1243" s="40" t="s">
        <v>1849</v>
      </c>
      <c r="D1243" s="40" t="s">
        <v>305</v>
      </c>
      <c r="E1243" s="40" t="s">
        <v>7</v>
      </c>
      <c r="F1243" s="72">
        <v>1</v>
      </c>
    </row>
    <row r="1244" s="40" customFormat="1" spans="1:6">
      <c r="A1244" s="40" t="s">
        <v>750</v>
      </c>
      <c r="B1244" s="39" t="s">
        <v>747</v>
      </c>
      <c r="C1244" s="40" t="s">
        <v>1850</v>
      </c>
      <c r="D1244" s="40" t="s">
        <v>305</v>
      </c>
      <c r="E1244" s="40" t="s">
        <v>7</v>
      </c>
      <c r="F1244" s="72">
        <v>1</v>
      </c>
    </row>
    <row r="1245" s="40" customFormat="1" spans="1:6">
      <c r="A1245" s="40" t="s">
        <v>750</v>
      </c>
      <c r="B1245" s="39" t="s">
        <v>747</v>
      </c>
      <c r="C1245" s="40" t="s">
        <v>1851</v>
      </c>
      <c r="D1245" s="40" t="s">
        <v>96</v>
      </c>
      <c r="E1245" s="40" t="s">
        <v>7</v>
      </c>
      <c r="F1245" s="72">
        <v>1</v>
      </c>
    </row>
    <row r="1246" s="40" customFormat="1" spans="1:6">
      <c r="A1246" s="40" t="s">
        <v>750</v>
      </c>
      <c r="B1246" s="39" t="s">
        <v>747</v>
      </c>
      <c r="C1246" s="40" t="s">
        <v>1852</v>
      </c>
      <c r="D1246" s="40" t="s">
        <v>1853</v>
      </c>
      <c r="E1246" s="40" t="s">
        <v>7</v>
      </c>
      <c r="F1246" s="72">
        <v>1</v>
      </c>
    </row>
    <row r="1247" s="40" customFormat="1" spans="1:6">
      <c r="A1247" s="40" t="s">
        <v>750</v>
      </c>
      <c r="B1247" s="39" t="s">
        <v>747</v>
      </c>
      <c r="C1247" s="40" t="s">
        <v>1854</v>
      </c>
      <c r="D1247" s="40" t="s">
        <v>96</v>
      </c>
      <c r="E1247" s="40" t="s">
        <v>7</v>
      </c>
      <c r="F1247" s="72">
        <v>1</v>
      </c>
    </row>
    <row r="1248" spans="1:6">
      <c r="A1248" s="40" t="s">
        <v>750</v>
      </c>
      <c r="B1248" s="39" t="s">
        <v>747</v>
      </c>
      <c r="C1248" s="40" t="s">
        <v>1855</v>
      </c>
      <c r="D1248" s="40" t="s">
        <v>1856</v>
      </c>
      <c r="E1248" s="40" t="s">
        <v>7</v>
      </c>
      <c r="F1248" s="72">
        <v>1</v>
      </c>
    </row>
    <row r="1249" spans="1:6">
      <c r="A1249" s="40" t="s">
        <v>750</v>
      </c>
      <c r="B1249" s="39" t="s">
        <v>747</v>
      </c>
      <c r="C1249" s="40" t="s">
        <v>1857</v>
      </c>
      <c r="D1249" s="40" t="s">
        <v>1089</v>
      </c>
      <c r="E1249" s="40" t="s">
        <v>7</v>
      </c>
      <c r="F1249" s="72">
        <v>1</v>
      </c>
    </row>
    <row r="1250" spans="1:6">
      <c r="A1250" s="40" t="s">
        <v>750</v>
      </c>
      <c r="B1250" s="39" t="s">
        <v>747</v>
      </c>
      <c r="C1250" s="40" t="s">
        <v>1858</v>
      </c>
      <c r="D1250" s="40" t="s">
        <v>815</v>
      </c>
      <c r="E1250" s="40" t="s">
        <v>7</v>
      </c>
      <c r="F1250" s="72">
        <v>1</v>
      </c>
    </row>
    <row r="1251" spans="1:6">
      <c r="A1251" s="40" t="s">
        <v>750</v>
      </c>
      <c r="B1251" s="39" t="s">
        <v>747</v>
      </c>
      <c r="C1251" s="40" t="s">
        <v>1859</v>
      </c>
      <c r="D1251" s="40" t="s">
        <v>119</v>
      </c>
      <c r="E1251" s="40" t="s">
        <v>7</v>
      </c>
      <c r="F1251" s="72">
        <v>1</v>
      </c>
    </row>
    <row r="1252" spans="1:6">
      <c r="A1252" s="40" t="s">
        <v>750</v>
      </c>
      <c r="B1252" s="39" t="s">
        <v>747</v>
      </c>
      <c r="C1252" s="40" t="s">
        <v>1860</v>
      </c>
      <c r="D1252" s="40" t="s">
        <v>813</v>
      </c>
      <c r="E1252" s="40" t="s">
        <v>7</v>
      </c>
      <c r="F1252" s="72">
        <v>1</v>
      </c>
    </row>
    <row r="1253" spans="1:6">
      <c r="A1253" s="40" t="s">
        <v>750</v>
      </c>
      <c r="B1253" s="39" t="s">
        <v>747</v>
      </c>
      <c r="C1253" s="40" t="s">
        <v>1861</v>
      </c>
      <c r="D1253" s="40" t="s">
        <v>235</v>
      </c>
      <c r="E1253" s="40" t="s">
        <v>7</v>
      </c>
      <c r="F1253" s="72">
        <v>1</v>
      </c>
    </row>
    <row r="1254" spans="1:6">
      <c r="A1254" s="40" t="s">
        <v>750</v>
      </c>
      <c r="B1254" s="39" t="s">
        <v>747</v>
      </c>
      <c r="C1254" s="40" t="s">
        <v>1862</v>
      </c>
      <c r="D1254" s="40" t="s">
        <v>235</v>
      </c>
      <c r="E1254" s="40" t="s">
        <v>7</v>
      </c>
      <c r="F1254" s="72">
        <v>1</v>
      </c>
    </row>
    <row r="1255" spans="1:6">
      <c r="A1255" s="40" t="s">
        <v>750</v>
      </c>
      <c r="B1255" s="39" t="s">
        <v>747</v>
      </c>
      <c r="C1255" s="40" t="s">
        <v>1863</v>
      </c>
      <c r="D1255" s="40" t="s">
        <v>49</v>
      </c>
      <c r="E1255" s="40" t="s">
        <v>7</v>
      </c>
      <c r="F1255" s="72">
        <v>1</v>
      </c>
    </row>
    <row r="1256" spans="1:6">
      <c r="A1256" s="40" t="s">
        <v>750</v>
      </c>
      <c r="B1256" s="39" t="s">
        <v>747</v>
      </c>
      <c r="C1256" s="40" t="s">
        <v>1864</v>
      </c>
      <c r="D1256" s="40" t="s">
        <v>350</v>
      </c>
      <c r="E1256" s="40" t="s">
        <v>7</v>
      </c>
      <c r="F1256" s="72">
        <v>1</v>
      </c>
    </row>
    <row r="1257" s="40" customFormat="1" spans="1:6">
      <c r="A1257" s="40" t="s">
        <v>750</v>
      </c>
      <c r="B1257" s="39" t="s">
        <v>747</v>
      </c>
      <c r="C1257" s="40" t="s">
        <v>1865</v>
      </c>
      <c r="D1257" s="40" t="s">
        <v>305</v>
      </c>
      <c r="E1257" s="40" t="s">
        <v>7</v>
      </c>
      <c r="F1257" s="72">
        <v>1</v>
      </c>
    </row>
    <row r="1258" s="40" customFormat="1" spans="1:6">
      <c r="A1258" s="40" t="s">
        <v>750</v>
      </c>
      <c r="B1258" s="39" t="s">
        <v>747</v>
      </c>
      <c r="C1258" s="40" t="s">
        <v>1866</v>
      </c>
      <c r="D1258" s="40" t="s">
        <v>96</v>
      </c>
      <c r="E1258" s="40" t="s">
        <v>7</v>
      </c>
      <c r="F1258" s="72">
        <v>1</v>
      </c>
    </row>
    <row r="1259" s="40" customFormat="1" spans="1:6">
      <c r="A1259" s="40" t="s">
        <v>750</v>
      </c>
      <c r="B1259" s="39" t="s">
        <v>747</v>
      </c>
      <c r="C1259" s="40" t="s">
        <v>1867</v>
      </c>
      <c r="D1259" s="40" t="s">
        <v>96</v>
      </c>
      <c r="E1259" s="40" t="s">
        <v>7</v>
      </c>
      <c r="F1259" s="72">
        <v>1</v>
      </c>
    </row>
    <row r="1260" s="40" customFormat="1" spans="1:6">
      <c r="A1260" s="40" t="s">
        <v>750</v>
      </c>
      <c r="B1260" s="39" t="s">
        <v>747</v>
      </c>
      <c r="C1260" s="40" t="s">
        <v>1868</v>
      </c>
      <c r="D1260" s="40" t="s">
        <v>96</v>
      </c>
      <c r="E1260" s="40" t="s">
        <v>7</v>
      </c>
      <c r="F1260" s="72">
        <v>1</v>
      </c>
    </row>
    <row r="1261" s="40" customFormat="1" spans="1:6">
      <c r="A1261" s="40" t="s">
        <v>750</v>
      </c>
      <c r="B1261" s="39" t="s">
        <v>747</v>
      </c>
      <c r="C1261" s="40" t="s">
        <v>1869</v>
      </c>
      <c r="D1261" s="40" t="s">
        <v>96</v>
      </c>
      <c r="E1261" s="40" t="s">
        <v>7</v>
      </c>
      <c r="F1261" s="72">
        <v>1</v>
      </c>
    </row>
    <row r="1262" s="40" customFormat="1" spans="1:6">
      <c r="A1262" s="40" t="s">
        <v>750</v>
      </c>
      <c r="B1262" s="39" t="s">
        <v>747</v>
      </c>
      <c r="C1262" s="40" t="s">
        <v>1870</v>
      </c>
      <c r="D1262" s="40" t="s">
        <v>96</v>
      </c>
      <c r="E1262" s="40" t="s">
        <v>7</v>
      </c>
      <c r="F1262" s="72">
        <v>1</v>
      </c>
    </row>
    <row r="1263" s="40" customFormat="1" spans="1:6">
      <c r="A1263" s="40" t="s">
        <v>750</v>
      </c>
      <c r="B1263" s="39" t="s">
        <v>747</v>
      </c>
      <c r="C1263" s="40" t="s">
        <v>1871</v>
      </c>
      <c r="D1263" s="40" t="s">
        <v>96</v>
      </c>
      <c r="E1263" s="40" t="s">
        <v>7</v>
      </c>
      <c r="F1263" s="72">
        <v>1</v>
      </c>
    </row>
    <row r="1264" s="40" customFormat="1" spans="1:6">
      <c r="A1264" s="40" t="s">
        <v>750</v>
      </c>
      <c r="B1264" s="39" t="s">
        <v>747</v>
      </c>
      <c r="C1264" s="40" t="s">
        <v>1872</v>
      </c>
      <c r="D1264" s="40" t="s">
        <v>96</v>
      </c>
      <c r="E1264" s="40" t="s">
        <v>7</v>
      </c>
      <c r="F1264" s="72">
        <v>1</v>
      </c>
    </row>
    <row r="1265" spans="1:6">
      <c r="A1265" s="40" t="s">
        <v>750</v>
      </c>
      <c r="B1265" s="39" t="s">
        <v>747</v>
      </c>
      <c r="C1265" s="40" t="s">
        <v>1873</v>
      </c>
      <c r="D1265" s="40" t="s">
        <v>1874</v>
      </c>
      <c r="E1265" s="40" t="s">
        <v>7</v>
      </c>
      <c r="F1265" s="72">
        <v>1</v>
      </c>
    </row>
    <row r="1266" spans="1:6">
      <c r="A1266" s="40" t="s">
        <v>750</v>
      </c>
      <c r="B1266" s="39" t="s">
        <v>747</v>
      </c>
      <c r="C1266" s="40" t="s">
        <v>1875</v>
      </c>
      <c r="D1266" s="40" t="s">
        <v>789</v>
      </c>
      <c r="E1266" s="40" t="s">
        <v>7</v>
      </c>
      <c r="F1266" s="72">
        <v>1</v>
      </c>
    </row>
    <row r="1267" spans="1:6">
      <c r="A1267" s="40" t="s">
        <v>750</v>
      </c>
      <c r="B1267" s="39" t="s">
        <v>747</v>
      </c>
      <c r="C1267" s="40" t="s">
        <v>1876</v>
      </c>
      <c r="D1267" s="40" t="s">
        <v>1877</v>
      </c>
      <c r="E1267" s="40" t="s">
        <v>7</v>
      </c>
      <c r="F1267" s="72">
        <v>1</v>
      </c>
    </row>
    <row r="1268" spans="1:6">
      <c r="A1268" s="40" t="s">
        <v>750</v>
      </c>
      <c r="B1268" s="39" t="s">
        <v>747</v>
      </c>
      <c r="C1268" s="40" t="s">
        <v>1878</v>
      </c>
      <c r="D1268" s="40" t="s">
        <v>1879</v>
      </c>
      <c r="E1268" s="40" t="s">
        <v>7</v>
      </c>
      <c r="F1268" s="72">
        <v>1</v>
      </c>
    </row>
    <row r="1269" spans="1:6">
      <c r="A1269" s="40" t="s">
        <v>750</v>
      </c>
      <c r="B1269" s="39" t="s">
        <v>747</v>
      </c>
      <c r="C1269" s="40" t="s">
        <v>1880</v>
      </c>
      <c r="D1269" s="40" t="s">
        <v>1881</v>
      </c>
      <c r="E1269" s="40" t="s">
        <v>7</v>
      </c>
      <c r="F1269" s="72">
        <v>1</v>
      </c>
    </row>
    <row r="1270" spans="1:6">
      <c r="A1270" s="40" t="s">
        <v>750</v>
      </c>
      <c r="B1270" s="39" t="s">
        <v>747</v>
      </c>
      <c r="C1270" s="40" t="s">
        <v>1882</v>
      </c>
      <c r="D1270" s="40" t="s">
        <v>1883</v>
      </c>
      <c r="E1270" s="40" t="s">
        <v>7</v>
      </c>
      <c r="F1270" s="72">
        <v>1</v>
      </c>
    </row>
    <row r="1271" spans="1:6">
      <c r="A1271" s="40" t="s">
        <v>750</v>
      </c>
      <c r="B1271" s="39" t="s">
        <v>747</v>
      </c>
      <c r="C1271" s="40" t="s">
        <v>1884</v>
      </c>
      <c r="D1271" s="40" t="s">
        <v>1885</v>
      </c>
      <c r="E1271" s="40" t="s">
        <v>7</v>
      </c>
      <c r="F1271" s="72">
        <v>1</v>
      </c>
    </row>
    <row r="1272" spans="1:6">
      <c r="A1272" s="40" t="s">
        <v>750</v>
      </c>
      <c r="B1272" s="39" t="s">
        <v>747</v>
      </c>
      <c r="C1272" s="40" t="s">
        <v>1886</v>
      </c>
      <c r="D1272" s="40" t="s">
        <v>1887</v>
      </c>
      <c r="E1272" s="40" t="s">
        <v>7</v>
      </c>
      <c r="F1272" s="72">
        <v>1</v>
      </c>
    </row>
    <row r="1273" spans="1:6">
      <c r="A1273" s="40" t="s">
        <v>750</v>
      </c>
      <c r="B1273" s="39" t="s">
        <v>747</v>
      </c>
      <c r="C1273" s="40" t="s">
        <v>1888</v>
      </c>
      <c r="D1273" s="40" t="s">
        <v>235</v>
      </c>
      <c r="E1273" s="40" t="s">
        <v>7</v>
      </c>
      <c r="F1273" s="72">
        <v>1</v>
      </c>
    </row>
    <row r="1274" spans="1:6">
      <c r="A1274" s="40" t="s">
        <v>750</v>
      </c>
      <c r="B1274" s="39" t="s">
        <v>747</v>
      </c>
      <c r="C1274" s="40" t="s">
        <v>1889</v>
      </c>
      <c r="D1274" s="40" t="s">
        <v>95</v>
      </c>
      <c r="E1274" s="40" t="s">
        <v>7</v>
      </c>
      <c r="F1274" s="72">
        <v>1</v>
      </c>
    </row>
    <row r="1275" spans="1:6">
      <c r="A1275" s="40" t="s">
        <v>750</v>
      </c>
      <c r="B1275" s="39" t="s">
        <v>747</v>
      </c>
      <c r="C1275" s="40" t="s">
        <v>1890</v>
      </c>
      <c r="D1275" s="40" t="s">
        <v>772</v>
      </c>
      <c r="E1275" s="40" t="s">
        <v>7</v>
      </c>
      <c r="F1275" s="72">
        <v>1</v>
      </c>
    </row>
    <row r="1276" spans="1:6">
      <c r="A1276" s="40" t="s">
        <v>750</v>
      </c>
      <c r="B1276" s="39" t="s">
        <v>747</v>
      </c>
      <c r="C1276" s="40" t="s">
        <v>1891</v>
      </c>
      <c r="D1276" s="40" t="s">
        <v>772</v>
      </c>
      <c r="E1276" s="40" t="s">
        <v>7</v>
      </c>
      <c r="F1276" s="72">
        <v>1</v>
      </c>
    </row>
    <row r="1277" s="40" customFormat="1" spans="1:6">
      <c r="A1277" s="40" t="s">
        <v>750</v>
      </c>
      <c r="B1277" s="39" t="s">
        <v>747</v>
      </c>
      <c r="C1277" s="40" t="s">
        <v>1892</v>
      </c>
      <c r="D1277" s="40" t="s">
        <v>1140</v>
      </c>
      <c r="E1277" s="40" t="s">
        <v>7</v>
      </c>
      <c r="F1277" s="72">
        <v>1</v>
      </c>
    </row>
    <row r="1278" s="40" customFormat="1" spans="1:6">
      <c r="A1278" s="40" t="s">
        <v>750</v>
      </c>
      <c r="B1278" s="39" t="s">
        <v>747</v>
      </c>
      <c r="C1278" s="40" t="s">
        <v>1893</v>
      </c>
      <c r="D1278" s="40" t="s">
        <v>800</v>
      </c>
      <c r="E1278" s="40" t="s">
        <v>7</v>
      </c>
      <c r="F1278" s="72">
        <v>1</v>
      </c>
    </row>
    <row r="1279" s="40" customFormat="1" spans="1:6">
      <c r="A1279" s="40" t="s">
        <v>750</v>
      </c>
      <c r="B1279" s="39" t="s">
        <v>747</v>
      </c>
      <c r="C1279" s="40" t="s">
        <v>1894</v>
      </c>
      <c r="D1279" s="40" t="s">
        <v>1145</v>
      </c>
      <c r="E1279" s="40" t="s">
        <v>7</v>
      </c>
      <c r="F1279" s="72">
        <v>1</v>
      </c>
    </row>
    <row r="1280" s="40" customFormat="1" spans="1:6">
      <c r="A1280" s="40" t="s">
        <v>750</v>
      </c>
      <c r="B1280" s="39" t="s">
        <v>747</v>
      </c>
      <c r="C1280" s="40" t="s">
        <v>1895</v>
      </c>
      <c r="D1280" s="40" t="s">
        <v>1148</v>
      </c>
      <c r="E1280" s="40" t="s">
        <v>7</v>
      </c>
      <c r="F1280" s="72">
        <v>1</v>
      </c>
    </row>
    <row r="1281" s="40" customFormat="1" spans="1:6">
      <c r="A1281" s="40" t="s">
        <v>750</v>
      </c>
      <c r="B1281" s="39" t="s">
        <v>747</v>
      </c>
      <c r="C1281" s="40" t="s">
        <v>1896</v>
      </c>
      <c r="D1281" s="40" t="s">
        <v>96</v>
      </c>
      <c r="E1281" s="40" t="s">
        <v>7</v>
      </c>
      <c r="F1281" s="72">
        <v>1</v>
      </c>
    </row>
    <row r="1282" s="40" customFormat="1" spans="1:6">
      <c r="A1282" s="40" t="s">
        <v>750</v>
      </c>
      <c r="B1282" s="39" t="s">
        <v>747</v>
      </c>
      <c r="C1282" s="40" t="s">
        <v>1897</v>
      </c>
      <c r="D1282" s="40" t="s">
        <v>96</v>
      </c>
      <c r="E1282" s="40" t="s">
        <v>7</v>
      </c>
      <c r="F1282" s="72">
        <v>1</v>
      </c>
    </row>
    <row r="1283" s="40" customFormat="1" spans="1:6">
      <c r="A1283" s="40" t="s">
        <v>750</v>
      </c>
      <c r="B1283" s="39" t="s">
        <v>747</v>
      </c>
      <c r="C1283" s="40" t="s">
        <v>1898</v>
      </c>
      <c r="D1283" s="40" t="s">
        <v>802</v>
      </c>
      <c r="E1283" s="40" t="s">
        <v>7</v>
      </c>
      <c r="F1283" s="72">
        <v>1</v>
      </c>
    </row>
    <row r="1284" s="40" customFormat="1" spans="1:6">
      <c r="A1284" s="40" t="s">
        <v>750</v>
      </c>
      <c r="B1284" s="39" t="s">
        <v>747</v>
      </c>
      <c r="C1284" s="40" t="s">
        <v>1899</v>
      </c>
      <c r="D1284" s="40" t="s">
        <v>1900</v>
      </c>
      <c r="E1284" s="40" t="s">
        <v>7</v>
      </c>
      <c r="F1284" s="72">
        <v>1</v>
      </c>
    </row>
    <row r="1285" s="40" customFormat="1" spans="1:6">
      <c r="A1285" s="40" t="s">
        <v>750</v>
      </c>
      <c r="B1285" s="39" t="s">
        <v>747</v>
      </c>
      <c r="C1285" s="40" t="s">
        <v>1901</v>
      </c>
      <c r="D1285" s="40" t="s">
        <v>1902</v>
      </c>
      <c r="E1285" s="40" t="s">
        <v>7</v>
      </c>
      <c r="F1285" s="72">
        <v>1</v>
      </c>
    </row>
    <row r="1286" s="40" customFormat="1" spans="1:6">
      <c r="A1286" s="40" t="s">
        <v>750</v>
      </c>
      <c r="B1286" s="39" t="s">
        <v>747</v>
      </c>
      <c r="C1286" s="40" t="s">
        <v>1903</v>
      </c>
      <c r="D1286" s="40" t="s">
        <v>1904</v>
      </c>
      <c r="E1286" s="40" t="s">
        <v>7</v>
      </c>
      <c r="F1286" s="72">
        <v>1</v>
      </c>
    </row>
    <row r="1287" s="40" customFormat="1" spans="1:6">
      <c r="A1287" s="40" t="s">
        <v>750</v>
      </c>
      <c r="B1287" s="39" t="s">
        <v>747</v>
      </c>
      <c r="C1287" s="40" t="s">
        <v>1905</v>
      </c>
      <c r="D1287" s="40" t="s">
        <v>1906</v>
      </c>
      <c r="E1287" s="40" t="s">
        <v>7</v>
      </c>
      <c r="F1287" s="72">
        <v>1</v>
      </c>
    </row>
    <row r="1288" spans="1:6">
      <c r="A1288" s="40" t="s">
        <v>750</v>
      </c>
      <c r="B1288" s="39" t="s">
        <v>747</v>
      </c>
      <c r="C1288" s="40" t="s">
        <v>1907</v>
      </c>
      <c r="D1288" s="40" t="s">
        <v>235</v>
      </c>
      <c r="E1288" s="40" t="s">
        <v>7</v>
      </c>
      <c r="F1288" s="72">
        <v>1</v>
      </c>
    </row>
    <row r="1289" spans="1:6">
      <c r="A1289" s="40" t="s">
        <v>750</v>
      </c>
      <c r="B1289" s="39" t="s">
        <v>747</v>
      </c>
      <c r="C1289" s="40" t="s">
        <v>1908</v>
      </c>
      <c r="D1289" s="40" t="s">
        <v>96</v>
      </c>
      <c r="E1289" s="40" t="s">
        <v>7</v>
      </c>
      <c r="F1289" s="72">
        <v>1</v>
      </c>
    </row>
    <row r="1290" spans="1:6">
      <c r="A1290" s="40" t="s">
        <v>750</v>
      </c>
      <c r="B1290" s="39" t="s">
        <v>747</v>
      </c>
      <c r="C1290" s="40" t="s">
        <v>1909</v>
      </c>
      <c r="D1290" s="40" t="s">
        <v>96</v>
      </c>
      <c r="E1290" s="40" t="s">
        <v>7</v>
      </c>
      <c r="F1290" s="72">
        <v>1</v>
      </c>
    </row>
    <row r="1291" spans="1:6">
      <c r="A1291" s="40" t="s">
        <v>750</v>
      </c>
      <c r="B1291" s="39" t="s">
        <v>747</v>
      </c>
      <c r="C1291" s="40" t="s">
        <v>1910</v>
      </c>
      <c r="D1291" s="40" t="s">
        <v>96</v>
      </c>
      <c r="E1291" s="40" t="s">
        <v>7</v>
      </c>
      <c r="F1291" s="72">
        <v>1</v>
      </c>
    </row>
    <row r="1292" spans="1:6">
      <c r="A1292" s="40" t="s">
        <v>750</v>
      </c>
      <c r="B1292" s="39" t="s">
        <v>747</v>
      </c>
      <c r="C1292" s="40" t="s">
        <v>1911</v>
      </c>
      <c r="D1292" s="40" t="s">
        <v>96</v>
      </c>
      <c r="E1292" s="40" t="s">
        <v>7</v>
      </c>
      <c r="F1292" s="72">
        <v>1</v>
      </c>
    </row>
    <row r="1293" spans="1:6">
      <c r="A1293" s="40" t="s">
        <v>750</v>
      </c>
      <c r="B1293" s="39" t="s">
        <v>747</v>
      </c>
      <c r="C1293" s="40" t="s">
        <v>1912</v>
      </c>
      <c r="D1293" s="40" t="s">
        <v>96</v>
      </c>
      <c r="E1293" s="40" t="s">
        <v>7</v>
      </c>
      <c r="F1293" s="72">
        <v>1</v>
      </c>
    </row>
    <row r="1294" spans="1:6">
      <c r="A1294" s="40" t="s">
        <v>750</v>
      </c>
      <c r="B1294" s="39" t="s">
        <v>747</v>
      </c>
      <c r="C1294" s="40" t="s">
        <v>1913</v>
      </c>
      <c r="D1294" s="40" t="s">
        <v>96</v>
      </c>
      <c r="E1294" s="40" t="s">
        <v>7</v>
      </c>
      <c r="F1294" s="72">
        <v>1</v>
      </c>
    </row>
    <row r="1295" spans="1:6">
      <c r="A1295" s="40" t="s">
        <v>750</v>
      </c>
      <c r="B1295" s="39" t="s">
        <v>747</v>
      </c>
      <c r="C1295" s="40" t="s">
        <v>1914</v>
      </c>
      <c r="D1295" s="40" t="s">
        <v>1915</v>
      </c>
      <c r="E1295" s="40" t="s">
        <v>7</v>
      </c>
      <c r="F1295" s="72">
        <v>1</v>
      </c>
    </row>
    <row r="1296" spans="1:6">
      <c r="A1296" s="40" t="s">
        <v>750</v>
      </c>
      <c r="B1296" s="39" t="s">
        <v>747</v>
      </c>
      <c r="C1296" s="40" t="s">
        <v>1916</v>
      </c>
      <c r="D1296" s="40" t="s">
        <v>96</v>
      </c>
      <c r="E1296" s="40" t="s">
        <v>7</v>
      </c>
      <c r="F1296" s="72">
        <v>1</v>
      </c>
    </row>
    <row r="1297" spans="1:6">
      <c r="A1297" s="40" t="s">
        <v>750</v>
      </c>
      <c r="B1297" s="39" t="s">
        <v>747</v>
      </c>
      <c r="C1297" s="40" t="s">
        <v>1917</v>
      </c>
      <c r="D1297" s="40" t="s">
        <v>1918</v>
      </c>
      <c r="E1297" s="40" t="s">
        <v>7</v>
      </c>
      <c r="F1297" s="72">
        <v>1</v>
      </c>
    </row>
    <row r="1298" spans="1:6">
      <c r="A1298" s="40" t="s">
        <v>750</v>
      </c>
      <c r="B1298" s="39" t="s">
        <v>747</v>
      </c>
      <c r="C1298" s="40" t="s">
        <v>1919</v>
      </c>
      <c r="D1298" s="40" t="s">
        <v>1920</v>
      </c>
      <c r="E1298" s="40" t="s">
        <v>7</v>
      </c>
      <c r="F1298" s="72">
        <v>1</v>
      </c>
    </row>
    <row r="1299" s="40" customFormat="1" spans="1:6">
      <c r="A1299" s="40" t="s">
        <v>750</v>
      </c>
      <c r="B1299" s="39" t="s">
        <v>747</v>
      </c>
      <c r="C1299" s="40" t="s">
        <v>1921</v>
      </c>
      <c r="D1299" s="40" t="s">
        <v>49</v>
      </c>
      <c r="E1299" s="40" t="s">
        <v>7</v>
      </c>
      <c r="F1299" s="72">
        <v>1</v>
      </c>
    </row>
    <row r="1300" s="40" customFormat="1" spans="1:6">
      <c r="A1300" s="40" t="s">
        <v>750</v>
      </c>
      <c r="B1300" s="39" t="s">
        <v>747</v>
      </c>
      <c r="C1300" s="40" t="s">
        <v>1922</v>
      </c>
      <c r="D1300" s="40" t="s">
        <v>96</v>
      </c>
      <c r="E1300" s="40" t="s">
        <v>7</v>
      </c>
      <c r="F1300" s="72">
        <v>1</v>
      </c>
    </row>
    <row r="1301" s="40" customFormat="1" spans="1:6">
      <c r="A1301" s="40" t="s">
        <v>750</v>
      </c>
      <c r="B1301" s="39" t="s">
        <v>747</v>
      </c>
      <c r="C1301" s="40" t="s">
        <v>1923</v>
      </c>
      <c r="D1301" s="40" t="s">
        <v>802</v>
      </c>
      <c r="E1301" s="40" t="s">
        <v>7</v>
      </c>
      <c r="F1301" s="72">
        <v>1</v>
      </c>
    </row>
    <row r="1302" s="40" customFormat="1" spans="1:6">
      <c r="A1302" s="40" t="s">
        <v>750</v>
      </c>
      <c r="B1302" s="39" t="s">
        <v>747</v>
      </c>
      <c r="C1302" s="40" t="s">
        <v>1924</v>
      </c>
      <c r="D1302" s="40" t="s">
        <v>1853</v>
      </c>
      <c r="E1302" s="40" t="s">
        <v>7</v>
      </c>
      <c r="F1302" s="72">
        <v>1</v>
      </c>
    </row>
    <row r="1303" spans="1:6">
      <c r="A1303" s="40" t="s">
        <v>750</v>
      </c>
      <c r="B1303" s="39" t="s">
        <v>747</v>
      </c>
      <c r="C1303" s="40" t="s">
        <v>1925</v>
      </c>
      <c r="D1303" s="40" t="s">
        <v>235</v>
      </c>
      <c r="E1303" s="40" t="s">
        <v>7</v>
      </c>
      <c r="F1303" s="72">
        <v>1</v>
      </c>
    </row>
    <row r="1304" spans="1:6">
      <c r="A1304" s="40" t="s">
        <v>750</v>
      </c>
      <c r="B1304" s="39" t="s">
        <v>747</v>
      </c>
      <c r="C1304" s="40" t="s">
        <v>1926</v>
      </c>
      <c r="D1304" s="40" t="s">
        <v>96</v>
      </c>
      <c r="E1304" s="40" t="s">
        <v>7</v>
      </c>
      <c r="F1304" s="72">
        <v>1</v>
      </c>
    </row>
    <row r="1305" spans="1:6">
      <c r="A1305" s="40" t="s">
        <v>750</v>
      </c>
      <c r="B1305" s="39" t="s">
        <v>747</v>
      </c>
      <c r="C1305" s="40" t="s">
        <v>1927</v>
      </c>
      <c r="D1305" s="40" t="s">
        <v>96</v>
      </c>
      <c r="E1305" s="40" t="s">
        <v>7</v>
      </c>
      <c r="F1305" s="72">
        <v>1</v>
      </c>
    </row>
    <row r="1306" spans="1:6">
      <c r="A1306" s="40" t="s">
        <v>750</v>
      </c>
      <c r="B1306" s="39" t="s">
        <v>747</v>
      </c>
      <c r="C1306" s="40" t="s">
        <v>1928</v>
      </c>
      <c r="D1306" s="40" t="s">
        <v>96</v>
      </c>
      <c r="E1306" s="40" t="s">
        <v>7</v>
      </c>
      <c r="F1306" s="72">
        <v>1</v>
      </c>
    </row>
    <row r="1307" spans="1:6">
      <c r="A1307" s="40" t="s">
        <v>750</v>
      </c>
      <c r="B1307" s="39" t="s">
        <v>747</v>
      </c>
      <c r="C1307" s="40" t="s">
        <v>1929</v>
      </c>
      <c r="D1307" s="40" t="s">
        <v>752</v>
      </c>
      <c r="E1307" s="40" t="s">
        <v>7</v>
      </c>
      <c r="F1307" s="72">
        <v>1</v>
      </c>
    </row>
    <row r="1308" spans="1:6">
      <c r="A1308" s="40" t="s">
        <v>750</v>
      </c>
      <c r="B1308" s="39" t="s">
        <v>747</v>
      </c>
      <c r="C1308" s="40" t="s">
        <v>1930</v>
      </c>
      <c r="D1308" s="40" t="s">
        <v>753</v>
      </c>
      <c r="E1308" s="40" t="s">
        <v>7</v>
      </c>
      <c r="F1308" s="72">
        <v>1</v>
      </c>
    </row>
    <row r="1309" spans="1:6">
      <c r="A1309" s="40" t="s">
        <v>750</v>
      </c>
      <c r="B1309" s="39" t="s">
        <v>747</v>
      </c>
      <c r="C1309" s="40" t="s">
        <v>1931</v>
      </c>
      <c r="D1309" s="40" t="s">
        <v>235</v>
      </c>
      <c r="E1309" s="40" t="s">
        <v>7</v>
      </c>
      <c r="F1309" s="72">
        <v>1</v>
      </c>
    </row>
    <row r="1310" spans="1:6">
      <c r="A1310" s="40" t="s">
        <v>750</v>
      </c>
      <c r="B1310" s="39" t="s">
        <v>747</v>
      </c>
      <c r="C1310" s="40" t="s">
        <v>1932</v>
      </c>
      <c r="D1310" s="40" t="s">
        <v>235</v>
      </c>
      <c r="E1310" s="40" t="s">
        <v>7</v>
      </c>
      <c r="F1310" s="72">
        <v>1</v>
      </c>
    </row>
    <row r="1311" spans="1:6">
      <c r="A1311" s="40" t="s">
        <v>750</v>
      </c>
      <c r="B1311" s="39" t="s">
        <v>747</v>
      </c>
      <c r="C1311" s="40" t="s">
        <v>1933</v>
      </c>
      <c r="D1311" s="40" t="s">
        <v>1934</v>
      </c>
      <c r="E1311" s="40" t="s">
        <v>7</v>
      </c>
      <c r="F1311" s="72">
        <v>1</v>
      </c>
    </row>
    <row r="1312" spans="1:6">
      <c r="A1312" s="40" t="s">
        <v>750</v>
      </c>
      <c r="B1312" s="39" t="s">
        <v>747</v>
      </c>
      <c r="C1312" s="40" t="s">
        <v>1935</v>
      </c>
      <c r="D1312" s="40" t="s">
        <v>96</v>
      </c>
      <c r="E1312" s="40" t="s">
        <v>7</v>
      </c>
      <c r="F1312" s="72">
        <v>1</v>
      </c>
    </row>
    <row r="1313" spans="1:6">
      <c r="A1313" s="40" t="s">
        <v>750</v>
      </c>
      <c r="B1313" s="39" t="s">
        <v>747</v>
      </c>
      <c r="C1313" s="40" t="s">
        <v>1936</v>
      </c>
      <c r="D1313" s="40" t="s">
        <v>96</v>
      </c>
      <c r="E1313" s="40" t="s">
        <v>7</v>
      </c>
      <c r="F1313" s="72">
        <v>1</v>
      </c>
    </row>
    <row r="1314" spans="1:6">
      <c r="A1314" s="40" t="s">
        <v>750</v>
      </c>
      <c r="B1314" s="39" t="s">
        <v>747</v>
      </c>
      <c r="C1314" s="40" t="s">
        <v>1937</v>
      </c>
      <c r="D1314" s="40" t="s">
        <v>96</v>
      </c>
      <c r="E1314" s="40" t="s">
        <v>7</v>
      </c>
      <c r="F1314" s="72">
        <v>1</v>
      </c>
    </row>
    <row r="1315" spans="1:6">
      <c r="A1315" s="40" t="s">
        <v>750</v>
      </c>
      <c r="B1315" s="39" t="s">
        <v>747</v>
      </c>
      <c r="C1315" s="40" t="s">
        <v>1938</v>
      </c>
      <c r="D1315" s="40" t="s">
        <v>120</v>
      </c>
      <c r="E1315" s="40" t="s">
        <v>7</v>
      </c>
      <c r="F1315" s="72">
        <v>1</v>
      </c>
    </row>
    <row r="1316" spans="1:6">
      <c r="A1316" s="40" t="s">
        <v>750</v>
      </c>
      <c r="B1316" s="39" t="s">
        <v>747</v>
      </c>
      <c r="C1316" s="40" t="s">
        <v>1939</v>
      </c>
      <c r="D1316" s="40" t="s">
        <v>1940</v>
      </c>
      <c r="E1316" s="40" t="s">
        <v>7</v>
      </c>
      <c r="F1316" s="72">
        <v>1</v>
      </c>
    </row>
    <row r="1317" spans="1:6">
      <c r="A1317" s="40" t="s">
        <v>750</v>
      </c>
      <c r="B1317" s="39" t="s">
        <v>747</v>
      </c>
      <c r="C1317" s="40" t="s">
        <v>1941</v>
      </c>
      <c r="D1317" s="40" t="s">
        <v>1940</v>
      </c>
      <c r="E1317" s="40" t="s">
        <v>7</v>
      </c>
      <c r="F1317" s="72">
        <v>1</v>
      </c>
    </row>
    <row r="1318" s="40" customFormat="1" spans="1:6">
      <c r="A1318" s="40" t="s">
        <v>750</v>
      </c>
      <c r="B1318" s="39" t="s">
        <v>747</v>
      </c>
      <c r="C1318" s="40" t="s">
        <v>1942</v>
      </c>
      <c r="D1318" s="40" t="s">
        <v>96</v>
      </c>
      <c r="E1318" s="40" t="s">
        <v>7</v>
      </c>
      <c r="F1318" s="72">
        <v>1</v>
      </c>
    </row>
    <row r="1319" s="40" customFormat="1" spans="1:6">
      <c r="A1319" s="40" t="s">
        <v>750</v>
      </c>
      <c r="B1319" s="39" t="s">
        <v>747</v>
      </c>
      <c r="C1319" s="40" t="s">
        <v>1943</v>
      </c>
      <c r="D1319" s="40" t="s">
        <v>1944</v>
      </c>
      <c r="E1319" s="40" t="s">
        <v>7</v>
      </c>
      <c r="F1319" s="72">
        <v>1</v>
      </c>
    </row>
    <row r="1320" s="40" customFormat="1" spans="1:6">
      <c r="A1320" s="40" t="s">
        <v>750</v>
      </c>
      <c r="B1320" s="39" t="s">
        <v>747</v>
      </c>
      <c r="C1320" s="40" t="s">
        <v>1945</v>
      </c>
      <c r="D1320" s="40" t="s">
        <v>305</v>
      </c>
      <c r="E1320" s="40" t="s">
        <v>7</v>
      </c>
      <c r="F1320" s="72">
        <v>1</v>
      </c>
    </row>
    <row r="1321" s="40" customFormat="1" spans="1:6">
      <c r="A1321" s="40" t="s">
        <v>750</v>
      </c>
      <c r="B1321" s="39" t="s">
        <v>747</v>
      </c>
      <c r="C1321" s="40" t="s">
        <v>1946</v>
      </c>
      <c r="D1321" s="40" t="s">
        <v>96</v>
      </c>
      <c r="E1321" s="40" t="s">
        <v>7</v>
      </c>
      <c r="F1321" s="72">
        <v>1</v>
      </c>
    </row>
    <row r="1322" spans="1:6">
      <c r="A1322" s="40" t="s">
        <v>750</v>
      </c>
      <c r="B1322" s="39" t="s">
        <v>747</v>
      </c>
      <c r="C1322" s="40" t="s">
        <v>1947</v>
      </c>
      <c r="D1322" s="40" t="s">
        <v>811</v>
      </c>
      <c r="E1322" s="40" t="s">
        <v>7</v>
      </c>
      <c r="F1322" s="72">
        <v>1</v>
      </c>
    </row>
    <row r="1323" spans="1:6">
      <c r="A1323" s="40" t="s">
        <v>750</v>
      </c>
      <c r="B1323" s="39" t="s">
        <v>747</v>
      </c>
      <c r="C1323" s="40" t="s">
        <v>1948</v>
      </c>
      <c r="D1323" s="40" t="s">
        <v>49</v>
      </c>
      <c r="E1323" s="40" t="s">
        <v>7</v>
      </c>
      <c r="F1323" s="72">
        <v>1</v>
      </c>
    </row>
    <row r="1324" spans="1:6">
      <c r="A1324" s="40" t="s">
        <v>750</v>
      </c>
      <c r="B1324" s="39" t="s">
        <v>747</v>
      </c>
      <c r="C1324" s="40" t="s">
        <v>1949</v>
      </c>
      <c r="D1324" s="40" t="s">
        <v>772</v>
      </c>
      <c r="E1324" s="40" t="s">
        <v>7</v>
      </c>
      <c r="F1324" s="72">
        <v>1</v>
      </c>
    </row>
    <row r="1325" spans="1:6">
      <c r="A1325" s="40" t="s">
        <v>750</v>
      </c>
      <c r="B1325" s="39" t="s">
        <v>747</v>
      </c>
      <c r="C1325" s="40" t="s">
        <v>1950</v>
      </c>
      <c r="D1325" s="40" t="s">
        <v>1951</v>
      </c>
      <c r="E1325" s="40" t="s">
        <v>7</v>
      </c>
      <c r="F1325" s="72">
        <v>1</v>
      </c>
    </row>
    <row r="1326" spans="1:6">
      <c r="A1326" s="40" t="s">
        <v>750</v>
      </c>
      <c r="B1326" s="39" t="s">
        <v>747</v>
      </c>
      <c r="C1326" s="40" t="s">
        <v>1952</v>
      </c>
      <c r="D1326" s="40" t="s">
        <v>1951</v>
      </c>
      <c r="E1326" s="40" t="s">
        <v>7</v>
      </c>
      <c r="F1326" s="72">
        <v>1</v>
      </c>
    </row>
    <row r="1327" spans="1:6">
      <c r="A1327" s="40" t="s">
        <v>750</v>
      </c>
      <c r="B1327" s="39" t="s">
        <v>747</v>
      </c>
      <c r="C1327" s="40" t="s">
        <v>1953</v>
      </c>
      <c r="D1327" s="40" t="s">
        <v>1954</v>
      </c>
      <c r="E1327" s="40" t="s">
        <v>7</v>
      </c>
      <c r="F1327" s="72">
        <v>1</v>
      </c>
    </row>
    <row r="1328" spans="1:6">
      <c r="A1328" s="40" t="s">
        <v>750</v>
      </c>
      <c r="B1328" s="39" t="s">
        <v>747</v>
      </c>
      <c r="C1328" s="40" t="s">
        <v>1955</v>
      </c>
      <c r="D1328" s="40" t="s">
        <v>1954</v>
      </c>
      <c r="E1328" s="40" t="s">
        <v>7</v>
      </c>
      <c r="F1328" s="72">
        <v>1</v>
      </c>
    </row>
    <row r="1329" spans="1:6">
      <c r="A1329" s="40" t="s">
        <v>750</v>
      </c>
      <c r="B1329" s="39" t="s">
        <v>747</v>
      </c>
      <c r="C1329" s="40" t="s">
        <v>1956</v>
      </c>
      <c r="D1329" s="40" t="s">
        <v>1954</v>
      </c>
      <c r="E1329" s="40" t="s">
        <v>7</v>
      </c>
      <c r="F1329" s="72">
        <v>1</v>
      </c>
    </row>
    <row r="1330" spans="1:6">
      <c r="A1330" s="40" t="s">
        <v>750</v>
      </c>
      <c r="B1330" s="39" t="s">
        <v>747</v>
      </c>
      <c r="C1330" s="40" t="s">
        <v>1957</v>
      </c>
      <c r="D1330" s="40" t="s">
        <v>1954</v>
      </c>
      <c r="E1330" s="40" t="s">
        <v>7</v>
      </c>
      <c r="F1330" s="72">
        <v>1</v>
      </c>
    </row>
    <row r="1331" spans="1:6">
      <c r="A1331" s="40" t="s">
        <v>750</v>
      </c>
      <c r="B1331" s="39" t="s">
        <v>747</v>
      </c>
      <c r="C1331" s="40" t="s">
        <v>1958</v>
      </c>
      <c r="D1331" s="40" t="s">
        <v>1959</v>
      </c>
      <c r="E1331" s="40" t="s">
        <v>7</v>
      </c>
      <c r="F1331" s="72">
        <v>1</v>
      </c>
    </row>
    <row r="1332" spans="1:6">
      <c r="A1332" s="40" t="s">
        <v>750</v>
      </c>
      <c r="B1332" s="39" t="s">
        <v>747</v>
      </c>
      <c r="C1332" s="40" t="s">
        <v>1960</v>
      </c>
      <c r="D1332" s="40" t="s">
        <v>1959</v>
      </c>
      <c r="E1332" s="40" t="s">
        <v>7</v>
      </c>
      <c r="F1332" s="72">
        <v>1</v>
      </c>
    </row>
    <row r="1333" spans="1:6">
      <c r="A1333" s="40" t="s">
        <v>750</v>
      </c>
      <c r="B1333" s="39" t="s">
        <v>747</v>
      </c>
      <c r="C1333" s="40" t="s">
        <v>1961</v>
      </c>
      <c r="D1333" s="40" t="s">
        <v>1959</v>
      </c>
      <c r="E1333" s="40" t="s">
        <v>7</v>
      </c>
      <c r="F1333" s="72">
        <v>1</v>
      </c>
    </row>
    <row r="1334" spans="1:6">
      <c r="A1334" s="40" t="s">
        <v>750</v>
      </c>
      <c r="B1334" s="39" t="s">
        <v>747</v>
      </c>
      <c r="C1334" s="40" t="s">
        <v>1962</v>
      </c>
      <c r="D1334" s="40" t="s">
        <v>1959</v>
      </c>
      <c r="E1334" s="40" t="s">
        <v>7</v>
      </c>
      <c r="F1334" s="72">
        <v>1</v>
      </c>
    </row>
    <row r="1335" s="40" customFormat="1" spans="1:6">
      <c r="A1335" s="40" t="s">
        <v>750</v>
      </c>
      <c r="B1335" s="39" t="s">
        <v>747</v>
      </c>
      <c r="C1335" s="40" t="s">
        <v>1963</v>
      </c>
      <c r="D1335" s="40" t="s">
        <v>1140</v>
      </c>
      <c r="E1335" s="40" t="s">
        <v>7</v>
      </c>
      <c r="F1335" s="72">
        <v>1</v>
      </c>
    </row>
    <row r="1336" s="40" customFormat="1" spans="1:6">
      <c r="A1336" s="40" t="s">
        <v>750</v>
      </c>
      <c r="B1336" s="39" t="s">
        <v>747</v>
      </c>
      <c r="C1336" s="40" t="s">
        <v>1964</v>
      </c>
      <c r="D1336" s="40" t="s">
        <v>305</v>
      </c>
      <c r="E1336" s="40" t="s">
        <v>7</v>
      </c>
      <c r="F1336" s="72">
        <v>1</v>
      </c>
    </row>
    <row r="1337" s="40" customFormat="1" spans="1:6">
      <c r="A1337" s="40" t="s">
        <v>750</v>
      </c>
      <c r="B1337" s="39" t="s">
        <v>747</v>
      </c>
      <c r="C1337" s="40" t="s">
        <v>1965</v>
      </c>
      <c r="D1337" s="40" t="s">
        <v>49</v>
      </c>
      <c r="E1337" s="40" t="s">
        <v>7</v>
      </c>
      <c r="F1337" s="72">
        <v>1</v>
      </c>
    </row>
    <row r="1338" s="40" customFormat="1" spans="1:6">
      <c r="A1338" s="40" t="s">
        <v>750</v>
      </c>
      <c r="B1338" s="39" t="s">
        <v>747</v>
      </c>
      <c r="C1338" s="40" t="s">
        <v>1966</v>
      </c>
      <c r="D1338" s="40" t="s">
        <v>1853</v>
      </c>
      <c r="E1338" s="40" t="s">
        <v>7</v>
      </c>
      <c r="F1338" s="72">
        <v>1</v>
      </c>
    </row>
    <row r="1339" spans="1:6">
      <c r="A1339" s="40" t="s">
        <v>750</v>
      </c>
      <c r="B1339" s="39" t="s">
        <v>747</v>
      </c>
      <c r="C1339" s="40" t="s">
        <v>1967</v>
      </c>
      <c r="D1339" s="40" t="s">
        <v>235</v>
      </c>
      <c r="E1339" s="40" t="s">
        <v>7</v>
      </c>
      <c r="F1339" s="72">
        <v>1</v>
      </c>
    </row>
    <row r="1340" spans="1:6">
      <c r="A1340" s="40" t="s">
        <v>750</v>
      </c>
      <c r="B1340" s="39" t="s">
        <v>747</v>
      </c>
      <c r="C1340" s="40" t="s">
        <v>1968</v>
      </c>
      <c r="D1340" s="40" t="s">
        <v>235</v>
      </c>
      <c r="E1340" s="40" t="s">
        <v>7</v>
      </c>
      <c r="F1340" s="72">
        <v>1</v>
      </c>
    </row>
    <row r="1341" spans="1:6">
      <c r="A1341" s="40" t="s">
        <v>750</v>
      </c>
      <c r="B1341" s="39" t="s">
        <v>747</v>
      </c>
      <c r="C1341" s="40" t="s">
        <v>1969</v>
      </c>
      <c r="D1341" s="40" t="s">
        <v>811</v>
      </c>
      <c r="E1341" s="40" t="s">
        <v>7</v>
      </c>
      <c r="F1341" s="72">
        <v>1</v>
      </c>
    </row>
    <row r="1342" spans="1:6">
      <c r="A1342" s="40" t="s">
        <v>750</v>
      </c>
      <c r="B1342" s="39" t="s">
        <v>747</v>
      </c>
      <c r="C1342" s="40" t="s">
        <v>1970</v>
      </c>
      <c r="D1342" s="40" t="s">
        <v>1971</v>
      </c>
      <c r="E1342" s="40" t="s">
        <v>7</v>
      </c>
      <c r="F1342" s="72">
        <v>1</v>
      </c>
    </row>
    <row r="1343" spans="1:6">
      <c r="A1343" s="40" t="s">
        <v>750</v>
      </c>
      <c r="B1343" s="39" t="s">
        <v>747</v>
      </c>
      <c r="C1343" s="40" t="s">
        <v>1972</v>
      </c>
      <c r="D1343" s="40" t="s">
        <v>1973</v>
      </c>
      <c r="E1343" s="40" t="s">
        <v>7</v>
      </c>
      <c r="F1343" s="72">
        <v>1</v>
      </c>
    </row>
    <row r="1344" s="40" customFormat="1" spans="1:6">
      <c r="A1344" s="40" t="s">
        <v>750</v>
      </c>
      <c r="B1344" s="39" t="s">
        <v>747</v>
      </c>
      <c r="C1344" s="40" t="s">
        <v>1974</v>
      </c>
      <c r="D1344" s="40" t="s">
        <v>96</v>
      </c>
      <c r="E1344" s="40" t="s">
        <v>7</v>
      </c>
      <c r="F1344" s="72">
        <v>1</v>
      </c>
    </row>
    <row r="1345" s="40" customFormat="1" spans="1:6">
      <c r="A1345" s="40" t="s">
        <v>750</v>
      </c>
      <c r="B1345" s="39" t="s">
        <v>747</v>
      </c>
      <c r="C1345" s="40" t="s">
        <v>1975</v>
      </c>
      <c r="D1345" s="40" t="s">
        <v>96</v>
      </c>
      <c r="E1345" s="40" t="s">
        <v>7</v>
      </c>
      <c r="F1345" s="72">
        <v>1</v>
      </c>
    </row>
    <row r="1346" s="40" customFormat="1" spans="1:6">
      <c r="A1346" s="40" t="s">
        <v>750</v>
      </c>
      <c r="B1346" s="39" t="s">
        <v>747</v>
      </c>
      <c r="C1346" s="40" t="s">
        <v>1976</v>
      </c>
      <c r="D1346" s="40" t="s">
        <v>96</v>
      </c>
      <c r="E1346" s="40" t="s">
        <v>7</v>
      </c>
      <c r="F1346" s="72">
        <v>1</v>
      </c>
    </row>
    <row r="1347" s="40" customFormat="1" spans="1:6">
      <c r="A1347" s="40" t="s">
        <v>750</v>
      </c>
      <c r="B1347" s="39" t="s">
        <v>747</v>
      </c>
      <c r="C1347" s="40" t="s">
        <v>1977</v>
      </c>
      <c r="D1347" s="40" t="s">
        <v>96</v>
      </c>
      <c r="E1347" s="40" t="s">
        <v>7</v>
      </c>
      <c r="F1347" s="72">
        <v>1</v>
      </c>
    </row>
    <row r="1348" s="40" customFormat="1" spans="1:6">
      <c r="A1348" s="40" t="s">
        <v>750</v>
      </c>
      <c r="B1348" s="39" t="s">
        <v>747</v>
      </c>
      <c r="C1348" s="40" t="s">
        <v>1978</v>
      </c>
      <c r="D1348" s="40" t="s">
        <v>96</v>
      </c>
      <c r="E1348" s="40" t="s">
        <v>7</v>
      </c>
      <c r="F1348" s="72">
        <v>1</v>
      </c>
    </row>
    <row r="1349" spans="1:6">
      <c r="A1349" s="40" t="s">
        <v>750</v>
      </c>
      <c r="B1349" s="39" t="s">
        <v>747</v>
      </c>
      <c r="C1349" s="40" t="s">
        <v>1979</v>
      </c>
      <c r="D1349" s="40" t="s">
        <v>1980</v>
      </c>
      <c r="E1349" s="40" t="s">
        <v>7</v>
      </c>
      <c r="F1349" s="72">
        <v>1</v>
      </c>
    </row>
    <row r="1350" spans="1:6">
      <c r="A1350" s="40" t="s">
        <v>750</v>
      </c>
      <c r="B1350" s="39" t="s">
        <v>747</v>
      </c>
      <c r="C1350" s="40" t="s">
        <v>1981</v>
      </c>
      <c r="D1350" s="40" t="s">
        <v>804</v>
      </c>
      <c r="E1350" s="40" t="s">
        <v>7</v>
      </c>
      <c r="F1350" s="72">
        <v>1</v>
      </c>
    </row>
    <row r="1351" spans="1:6">
      <c r="A1351" s="40" t="s">
        <v>750</v>
      </c>
      <c r="B1351" s="39" t="s">
        <v>747</v>
      </c>
      <c r="C1351" s="40" t="s">
        <v>1982</v>
      </c>
      <c r="D1351" s="40" t="s">
        <v>1983</v>
      </c>
      <c r="E1351" s="40" t="s">
        <v>7</v>
      </c>
      <c r="F1351" s="72">
        <v>1</v>
      </c>
    </row>
    <row r="1352" spans="1:6">
      <c r="A1352" s="40" t="s">
        <v>750</v>
      </c>
      <c r="B1352" s="39" t="s">
        <v>747</v>
      </c>
      <c r="C1352" s="40" t="s">
        <v>1984</v>
      </c>
      <c r="D1352" s="40" t="s">
        <v>1985</v>
      </c>
      <c r="E1352" s="40" t="s">
        <v>7</v>
      </c>
      <c r="F1352" s="72">
        <v>1</v>
      </c>
    </row>
    <row r="1353" spans="1:6">
      <c r="A1353" s="40" t="s">
        <v>750</v>
      </c>
      <c r="B1353" s="39" t="s">
        <v>747</v>
      </c>
      <c r="C1353" s="40" t="s">
        <v>1986</v>
      </c>
      <c r="D1353" s="40" t="s">
        <v>789</v>
      </c>
      <c r="E1353" s="40" t="s">
        <v>7</v>
      </c>
      <c r="F1353" s="72">
        <v>1</v>
      </c>
    </row>
    <row r="1354" spans="1:6">
      <c r="A1354" s="40" t="s">
        <v>750</v>
      </c>
      <c r="B1354" s="39" t="s">
        <v>747</v>
      </c>
      <c r="C1354" s="40" t="s">
        <v>1987</v>
      </c>
      <c r="D1354" s="40" t="s">
        <v>1988</v>
      </c>
      <c r="E1354" s="40" t="s">
        <v>7</v>
      </c>
      <c r="F1354" s="72">
        <v>1</v>
      </c>
    </row>
    <row r="1355" s="40" customFormat="1" spans="1:6">
      <c r="A1355" s="40" t="s">
        <v>750</v>
      </c>
      <c r="B1355" s="39" t="s">
        <v>747</v>
      </c>
      <c r="C1355" s="40" t="s">
        <v>1989</v>
      </c>
      <c r="D1355" s="40" t="s">
        <v>802</v>
      </c>
      <c r="E1355" s="40" t="s">
        <v>7</v>
      </c>
      <c r="F1355" s="72">
        <v>1</v>
      </c>
    </row>
    <row r="1356" s="69" customFormat="1" spans="2:7">
      <c r="B1356" s="39" t="s">
        <v>747</v>
      </c>
      <c r="C1356" s="69">
        <v>1</v>
      </c>
      <c r="D1356" s="74" t="s">
        <v>234</v>
      </c>
      <c r="F1356" s="72">
        <v>1</v>
      </c>
      <c r="G1356" s="74"/>
    </row>
    <row r="1357" s="69" customFormat="1" spans="2:7">
      <c r="B1357" s="39" t="s">
        <v>747</v>
      </c>
      <c r="C1357" s="69">
        <v>2</v>
      </c>
      <c r="D1357" s="74" t="s">
        <v>234</v>
      </c>
      <c r="F1357" s="72">
        <v>1</v>
      </c>
      <c r="G1357" s="74"/>
    </row>
    <row r="1358" s="69" customFormat="1" spans="2:7">
      <c r="B1358" s="39" t="s">
        <v>747</v>
      </c>
      <c r="C1358" s="69">
        <v>3</v>
      </c>
      <c r="D1358" s="74" t="s">
        <v>234</v>
      </c>
      <c r="F1358" s="72">
        <v>1</v>
      </c>
      <c r="G1358" s="74"/>
    </row>
    <row r="1359" s="69" customFormat="1" spans="2:7">
      <c r="B1359" s="39" t="s">
        <v>747</v>
      </c>
      <c r="C1359" s="69">
        <v>4</v>
      </c>
      <c r="D1359" s="74" t="s">
        <v>234</v>
      </c>
      <c r="F1359" s="72">
        <v>1</v>
      </c>
      <c r="G1359" s="74"/>
    </row>
    <row r="1360" s="69" customFormat="1" spans="2:7">
      <c r="B1360" s="39" t="s">
        <v>747</v>
      </c>
      <c r="C1360" s="69">
        <v>5</v>
      </c>
      <c r="D1360" s="74" t="s">
        <v>234</v>
      </c>
      <c r="F1360" s="72">
        <v>1</v>
      </c>
      <c r="G1360" s="74"/>
    </row>
    <row r="1361" s="69" customFormat="1" spans="2:7">
      <c r="B1361" s="39" t="s">
        <v>747</v>
      </c>
      <c r="C1361" s="69">
        <v>6</v>
      </c>
      <c r="D1361" s="74" t="s">
        <v>234</v>
      </c>
      <c r="F1361" s="72">
        <v>1</v>
      </c>
      <c r="G1361" s="74"/>
    </row>
    <row r="1362" spans="1:8">
      <c r="A1362" s="74" t="s">
        <v>1990</v>
      </c>
      <c r="B1362" s="39" t="s">
        <v>747</v>
      </c>
      <c r="C1362" s="69">
        <v>7</v>
      </c>
      <c r="D1362" s="74" t="s">
        <v>1783</v>
      </c>
      <c r="E1362" s="74" t="s">
        <v>236</v>
      </c>
      <c r="F1362" s="72">
        <v>1</v>
      </c>
      <c r="G1362" s="74"/>
      <c r="H1362" s="74"/>
    </row>
  </sheetData>
  <autoFilter xmlns:etc="http://www.wps.cn/officeDocument/2017/etCustomData" ref="A1:F1362" etc:filterBottomFollowUsedRange="0">
    <extLst/>
  </autoFilter>
  <dataValidations count="1">
    <dataValidation type="list" allowBlank="1" showInputMessage="1" showErrorMessage="1" sqref="G1356:G1361">
      <formula1>"闲置,已报废,待报废,老化,良好"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476"/>
  <sheetViews>
    <sheetView view="pageBreakPreview" zoomScaleNormal="100" workbookViewId="0">
      <selection activeCell="A438" sqref="$A438:$XFD438"/>
    </sheetView>
  </sheetViews>
  <sheetFormatPr defaultColWidth="9" defaultRowHeight="13.5" outlineLevelCol="5"/>
  <cols>
    <col min="1" max="1" width="20.2583333333333" style="52" customWidth="1"/>
    <col min="2" max="2" width="11.625" style="52" customWidth="1"/>
    <col min="3" max="3" width="18.7583333333333" style="53" customWidth="1"/>
    <col min="4" max="4" width="11.125" style="52" customWidth="1"/>
    <col min="5" max="5" width="15.375" style="52" customWidth="1"/>
    <col min="6" max="6" width="17.8166666666667" style="54" customWidth="1"/>
    <col min="7" max="255" width="9" style="55"/>
    <col min="256" max="256" width="20.2583333333333" style="55" customWidth="1"/>
    <col min="257" max="257" width="11.625" style="55" customWidth="1"/>
    <col min="258" max="258" width="18.7583333333333" style="55" customWidth="1"/>
    <col min="259" max="259" width="27.7583333333333" style="55" customWidth="1"/>
    <col min="260" max="260" width="11.125" style="55" customWidth="1"/>
    <col min="261" max="261" width="15.375" style="55" customWidth="1"/>
    <col min="262" max="262" width="9.375" style="55" customWidth="1"/>
    <col min="263" max="511" width="9" style="55"/>
    <col min="512" max="512" width="20.2583333333333" style="55" customWidth="1"/>
    <col min="513" max="513" width="11.625" style="55" customWidth="1"/>
    <col min="514" max="514" width="18.7583333333333" style="55" customWidth="1"/>
    <col min="515" max="515" width="27.7583333333333" style="55" customWidth="1"/>
    <col min="516" max="516" width="11.125" style="55" customWidth="1"/>
    <col min="517" max="517" width="15.375" style="55" customWidth="1"/>
    <col min="518" max="518" width="9.375" style="55" customWidth="1"/>
    <col min="519" max="767" width="9" style="55"/>
    <col min="768" max="768" width="20.2583333333333" style="55" customWidth="1"/>
    <col min="769" max="769" width="11.625" style="55" customWidth="1"/>
    <col min="770" max="770" width="18.7583333333333" style="55" customWidth="1"/>
    <col min="771" max="771" width="27.7583333333333" style="55" customWidth="1"/>
    <col min="772" max="772" width="11.125" style="55" customWidth="1"/>
    <col min="773" max="773" width="15.375" style="55" customWidth="1"/>
    <col min="774" max="774" width="9.375" style="55" customWidth="1"/>
    <col min="775" max="1023" width="9" style="55"/>
    <col min="1024" max="1024" width="20.2583333333333" style="55" customWidth="1"/>
    <col min="1025" max="1025" width="11.625" style="55" customWidth="1"/>
    <col min="1026" max="1026" width="18.7583333333333" style="55" customWidth="1"/>
    <col min="1027" max="1027" width="27.7583333333333" style="55" customWidth="1"/>
    <col min="1028" max="1028" width="11.125" style="55" customWidth="1"/>
    <col min="1029" max="1029" width="15.375" style="55" customWidth="1"/>
    <col min="1030" max="1030" width="9.375" style="55" customWidth="1"/>
    <col min="1031" max="1279" width="9" style="55"/>
    <col min="1280" max="1280" width="20.2583333333333" style="55" customWidth="1"/>
    <col min="1281" max="1281" width="11.625" style="55" customWidth="1"/>
    <col min="1282" max="1282" width="18.7583333333333" style="55" customWidth="1"/>
    <col min="1283" max="1283" width="27.7583333333333" style="55" customWidth="1"/>
    <col min="1284" max="1284" width="11.125" style="55" customWidth="1"/>
    <col min="1285" max="1285" width="15.375" style="55" customWidth="1"/>
    <col min="1286" max="1286" width="9.375" style="55" customWidth="1"/>
    <col min="1287" max="1535" width="9" style="55"/>
    <col min="1536" max="1536" width="20.2583333333333" style="55" customWidth="1"/>
    <col min="1537" max="1537" width="11.625" style="55" customWidth="1"/>
    <col min="1538" max="1538" width="18.7583333333333" style="55" customWidth="1"/>
    <col min="1539" max="1539" width="27.7583333333333" style="55" customWidth="1"/>
    <col min="1540" max="1540" width="11.125" style="55" customWidth="1"/>
    <col min="1541" max="1541" width="15.375" style="55" customWidth="1"/>
    <col min="1542" max="1542" width="9.375" style="55" customWidth="1"/>
    <col min="1543" max="1791" width="9" style="55"/>
    <col min="1792" max="1792" width="20.2583333333333" style="55" customWidth="1"/>
    <col min="1793" max="1793" width="11.625" style="55" customWidth="1"/>
    <col min="1794" max="1794" width="18.7583333333333" style="55" customWidth="1"/>
    <col min="1795" max="1795" width="27.7583333333333" style="55" customWidth="1"/>
    <col min="1796" max="1796" width="11.125" style="55" customWidth="1"/>
    <col min="1797" max="1797" width="15.375" style="55" customWidth="1"/>
    <col min="1798" max="1798" width="9.375" style="55" customWidth="1"/>
    <col min="1799" max="2047" width="9" style="55"/>
    <col min="2048" max="2048" width="20.2583333333333" style="55" customWidth="1"/>
    <col min="2049" max="2049" width="11.625" style="55" customWidth="1"/>
    <col min="2050" max="2050" width="18.7583333333333" style="55" customWidth="1"/>
    <col min="2051" max="2051" width="27.7583333333333" style="55" customWidth="1"/>
    <col min="2052" max="2052" width="11.125" style="55" customWidth="1"/>
    <col min="2053" max="2053" width="15.375" style="55" customWidth="1"/>
    <col min="2054" max="2054" width="9.375" style="55" customWidth="1"/>
    <col min="2055" max="2303" width="9" style="55"/>
    <col min="2304" max="2304" width="20.2583333333333" style="55" customWidth="1"/>
    <col min="2305" max="2305" width="11.625" style="55" customWidth="1"/>
    <col min="2306" max="2306" width="18.7583333333333" style="55" customWidth="1"/>
    <col min="2307" max="2307" width="27.7583333333333" style="55" customWidth="1"/>
    <col min="2308" max="2308" width="11.125" style="55" customWidth="1"/>
    <col min="2309" max="2309" width="15.375" style="55" customWidth="1"/>
    <col min="2310" max="2310" width="9.375" style="55" customWidth="1"/>
    <col min="2311" max="2559" width="9" style="55"/>
    <col min="2560" max="2560" width="20.2583333333333" style="55" customWidth="1"/>
    <col min="2561" max="2561" width="11.625" style="55" customWidth="1"/>
    <col min="2562" max="2562" width="18.7583333333333" style="55" customWidth="1"/>
    <col min="2563" max="2563" width="27.7583333333333" style="55" customWidth="1"/>
    <col min="2564" max="2564" width="11.125" style="55" customWidth="1"/>
    <col min="2565" max="2565" width="15.375" style="55" customWidth="1"/>
    <col min="2566" max="2566" width="9.375" style="55" customWidth="1"/>
    <col min="2567" max="2815" width="9" style="55"/>
    <col min="2816" max="2816" width="20.2583333333333" style="55" customWidth="1"/>
    <col min="2817" max="2817" width="11.625" style="55" customWidth="1"/>
    <col min="2818" max="2818" width="18.7583333333333" style="55" customWidth="1"/>
    <col min="2819" max="2819" width="27.7583333333333" style="55" customWidth="1"/>
    <col min="2820" max="2820" width="11.125" style="55" customWidth="1"/>
    <col min="2821" max="2821" width="15.375" style="55" customWidth="1"/>
    <col min="2822" max="2822" width="9.375" style="55" customWidth="1"/>
    <col min="2823" max="3071" width="9" style="55"/>
    <col min="3072" max="3072" width="20.2583333333333" style="55" customWidth="1"/>
    <col min="3073" max="3073" width="11.625" style="55" customWidth="1"/>
    <col min="3074" max="3074" width="18.7583333333333" style="55" customWidth="1"/>
    <col min="3075" max="3075" width="27.7583333333333" style="55" customWidth="1"/>
    <col min="3076" max="3076" width="11.125" style="55" customWidth="1"/>
    <col min="3077" max="3077" width="15.375" style="55" customWidth="1"/>
    <col min="3078" max="3078" width="9.375" style="55" customWidth="1"/>
    <col min="3079" max="3327" width="9" style="55"/>
    <col min="3328" max="3328" width="20.2583333333333" style="55" customWidth="1"/>
    <col min="3329" max="3329" width="11.625" style="55" customWidth="1"/>
    <col min="3330" max="3330" width="18.7583333333333" style="55" customWidth="1"/>
    <col min="3331" max="3331" width="27.7583333333333" style="55" customWidth="1"/>
    <col min="3332" max="3332" width="11.125" style="55" customWidth="1"/>
    <col min="3333" max="3333" width="15.375" style="55" customWidth="1"/>
    <col min="3334" max="3334" width="9.375" style="55" customWidth="1"/>
    <col min="3335" max="3583" width="9" style="55"/>
    <col min="3584" max="3584" width="20.2583333333333" style="55" customWidth="1"/>
    <col min="3585" max="3585" width="11.625" style="55" customWidth="1"/>
    <col min="3586" max="3586" width="18.7583333333333" style="55" customWidth="1"/>
    <col min="3587" max="3587" width="27.7583333333333" style="55" customWidth="1"/>
    <col min="3588" max="3588" width="11.125" style="55" customWidth="1"/>
    <col min="3589" max="3589" width="15.375" style="55" customWidth="1"/>
    <col min="3590" max="3590" width="9.375" style="55" customWidth="1"/>
    <col min="3591" max="3839" width="9" style="55"/>
    <col min="3840" max="3840" width="20.2583333333333" style="55" customWidth="1"/>
    <col min="3841" max="3841" width="11.625" style="55" customWidth="1"/>
    <col min="3842" max="3842" width="18.7583333333333" style="55" customWidth="1"/>
    <col min="3843" max="3843" width="27.7583333333333" style="55" customWidth="1"/>
    <col min="3844" max="3844" width="11.125" style="55" customWidth="1"/>
    <col min="3845" max="3845" width="15.375" style="55" customWidth="1"/>
    <col min="3846" max="3846" width="9.375" style="55" customWidth="1"/>
    <col min="3847" max="4095" width="9" style="55"/>
    <col min="4096" max="4096" width="20.2583333333333" style="55" customWidth="1"/>
    <col min="4097" max="4097" width="11.625" style="55" customWidth="1"/>
    <col min="4098" max="4098" width="18.7583333333333" style="55" customWidth="1"/>
    <col min="4099" max="4099" width="27.7583333333333" style="55" customWidth="1"/>
    <col min="4100" max="4100" width="11.125" style="55" customWidth="1"/>
    <col min="4101" max="4101" width="15.375" style="55" customWidth="1"/>
    <col min="4102" max="4102" width="9.375" style="55" customWidth="1"/>
    <col min="4103" max="4351" width="9" style="55"/>
    <col min="4352" max="4352" width="20.2583333333333" style="55" customWidth="1"/>
    <col min="4353" max="4353" width="11.625" style="55" customWidth="1"/>
    <col min="4354" max="4354" width="18.7583333333333" style="55" customWidth="1"/>
    <col min="4355" max="4355" width="27.7583333333333" style="55" customWidth="1"/>
    <col min="4356" max="4356" width="11.125" style="55" customWidth="1"/>
    <col min="4357" max="4357" width="15.375" style="55" customWidth="1"/>
    <col min="4358" max="4358" width="9.375" style="55" customWidth="1"/>
    <col min="4359" max="4607" width="9" style="55"/>
    <col min="4608" max="4608" width="20.2583333333333" style="55" customWidth="1"/>
    <col min="4609" max="4609" width="11.625" style="55" customWidth="1"/>
    <col min="4610" max="4610" width="18.7583333333333" style="55" customWidth="1"/>
    <col min="4611" max="4611" width="27.7583333333333" style="55" customWidth="1"/>
    <col min="4612" max="4612" width="11.125" style="55" customWidth="1"/>
    <col min="4613" max="4613" width="15.375" style="55" customWidth="1"/>
    <col min="4614" max="4614" width="9.375" style="55" customWidth="1"/>
    <col min="4615" max="4863" width="9" style="55"/>
    <col min="4864" max="4864" width="20.2583333333333" style="55" customWidth="1"/>
    <col min="4865" max="4865" width="11.625" style="55" customWidth="1"/>
    <col min="4866" max="4866" width="18.7583333333333" style="55" customWidth="1"/>
    <col min="4867" max="4867" width="27.7583333333333" style="55" customWidth="1"/>
    <col min="4868" max="4868" width="11.125" style="55" customWidth="1"/>
    <col min="4869" max="4869" width="15.375" style="55" customWidth="1"/>
    <col min="4870" max="4870" width="9.375" style="55" customWidth="1"/>
    <col min="4871" max="5119" width="9" style="55"/>
    <col min="5120" max="5120" width="20.2583333333333" style="55" customWidth="1"/>
    <col min="5121" max="5121" width="11.625" style="55" customWidth="1"/>
    <col min="5122" max="5122" width="18.7583333333333" style="55" customWidth="1"/>
    <col min="5123" max="5123" width="27.7583333333333" style="55" customWidth="1"/>
    <col min="5124" max="5124" width="11.125" style="55" customWidth="1"/>
    <col min="5125" max="5125" width="15.375" style="55" customWidth="1"/>
    <col min="5126" max="5126" width="9.375" style="55" customWidth="1"/>
    <col min="5127" max="5375" width="9" style="55"/>
    <col min="5376" max="5376" width="20.2583333333333" style="55" customWidth="1"/>
    <col min="5377" max="5377" width="11.625" style="55" customWidth="1"/>
    <col min="5378" max="5378" width="18.7583333333333" style="55" customWidth="1"/>
    <col min="5379" max="5379" width="27.7583333333333" style="55" customWidth="1"/>
    <col min="5380" max="5380" width="11.125" style="55" customWidth="1"/>
    <col min="5381" max="5381" width="15.375" style="55" customWidth="1"/>
    <col min="5382" max="5382" width="9.375" style="55" customWidth="1"/>
    <col min="5383" max="5631" width="9" style="55"/>
    <col min="5632" max="5632" width="20.2583333333333" style="55" customWidth="1"/>
    <col min="5633" max="5633" width="11.625" style="55" customWidth="1"/>
    <col min="5634" max="5634" width="18.7583333333333" style="55" customWidth="1"/>
    <col min="5635" max="5635" width="27.7583333333333" style="55" customWidth="1"/>
    <col min="5636" max="5636" width="11.125" style="55" customWidth="1"/>
    <col min="5637" max="5637" width="15.375" style="55" customWidth="1"/>
    <col min="5638" max="5638" width="9.375" style="55" customWidth="1"/>
    <col min="5639" max="5887" width="9" style="55"/>
    <col min="5888" max="5888" width="20.2583333333333" style="55" customWidth="1"/>
    <col min="5889" max="5889" width="11.625" style="55" customWidth="1"/>
    <col min="5890" max="5890" width="18.7583333333333" style="55" customWidth="1"/>
    <col min="5891" max="5891" width="27.7583333333333" style="55" customWidth="1"/>
    <col min="5892" max="5892" width="11.125" style="55" customWidth="1"/>
    <col min="5893" max="5893" width="15.375" style="55" customWidth="1"/>
    <col min="5894" max="5894" width="9.375" style="55" customWidth="1"/>
    <col min="5895" max="6143" width="9" style="55"/>
    <col min="6144" max="6144" width="20.2583333333333" style="55" customWidth="1"/>
    <col min="6145" max="6145" width="11.625" style="55" customWidth="1"/>
    <col min="6146" max="6146" width="18.7583333333333" style="55" customWidth="1"/>
    <col min="6147" max="6147" width="27.7583333333333" style="55" customWidth="1"/>
    <col min="6148" max="6148" width="11.125" style="55" customWidth="1"/>
    <col min="6149" max="6149" width="15.375" style="55" customWidth="1"/>
    <col min="6150" max="6150" width="9.375" style="55" customWidth="1"/>
    <col min="6151" max="6399" width="9" style="55"/>
    <col min="6400" max="6400" width="20.2583333333333" style="55" customWidth="1"/>
    <col min="6401" max="6401" width="11.625" style="55" customWidth="1"/>
    <col min="6402" max="6402" width="18.7583333333333" style="55" customWidth="1"/>
    <col min="6403" max="6403" width="27.7583333333333" style="55" customWidth="1"/>
    <col min="6404" max="6404" width="11.125" style="55" customWidth="1"/>
    <col min="6405" max="6405" width="15.375" style="55" customWidth="1"/>
    <col min="6406" max="6406" width="9.375" style="55" customWidth="1"/>
    <col min="6407" max="6655" width="9" style="55"/>
    <col min="6656" max="6656" width="20.2583333333333" style="55" customWidth="1"/>
    <col min="6657" max="6657" width="11.625" style="55" customWidth="1"/>
    <col min="6658" max="6658" width="18.7583333333333" style="55" customWidth="1"/>
    <col min="6659" max="6659" width="27.7583333333333" style="55" customWidth="1"/>
    <col min="6660" max="6660" width="11.125" style="55" customWidth="1"/>
    <col min="6661" max="6661" width="15.375" style="55" customWidth="1"/>
    <col min="6662" max="6662" width="9.375" style="55" customWidth="1"/>
    <col min="6663" max="6911" width="9" style="55"/>
    <col min="6912" max="6912" width="20.2583333333333" style="55" customWidth="1"/>
    <col min="6913" max="6913" width="11.625" style="55" customWidth="1"/>
    <col min="6914" max="6914" width="18.7583333333333" style="55" customWidth="1"/>
    <col min="6915" max="6915" width="27.7583333333333" style="55" customWidth="1"/>
    <col min="6916" max="6916" width="11.125" style="55" customWidth="1"/>
    <col min="6917" max="6917" width="15.375" style="55" customWidth="1"/>
    <col min="6918" max="6918" width="9.375" style="55" customWidth="1"/>
    <col min="6919" max="7167" width="9" style="55"/>
    <col min="7168" max="7168" width="20.2583333333333" style="55" customWidth="1"/>
    <col min="7169" max="7169" width="11.625" style="55" customWidth="1"/>
    <col min="7170" max="7170" width="18.7583333333333" style="55" customWidth="1"/>
    <col min="7171" max="7171" width="27.7583333333333" style="55" customWidth="1"/>
    <col min="7172" max="7172" width="11.125" style="55" customWidth="1"/>
    <col min="7173" max="7173" width="15.375" style="55" customWidth="1"/>
    <col min="7174" max="7174" width="9.375" style="55" customWidth="1"/>
    <col min="7175" max="7423" width="9" style="55"/>
    <col min="7424" max="7424" width="20.2583333333333" style="55" customWidth="1"/>
    <col min="7425" max="7425" width="11.625" style="55" customWidth="1"/>
    <col min="7426" max="7426" width="18.7583333333333" style="55" customWidth="1"/>
    <col min="7427" max="7427" width="27.7583333333333" style="55" customWidth="1"/>
    <col min="7428" max="7428" width="11.125" style="55" customWidth="1"/>
    <col min="7429" max="7429" width="15.375" style="55" customWidth="1"/>
    <col min="7430" max="7430" width="9.375" style="55" customWidth="1"/>
    <col min="7431" max="7679" width="9" style="55"/>
    <col min="7680" max="7680" width="20.2583333333333" style="55" customWidth="1"/>
    <col min="7681" max="7681" width="11.625" style="55" customWidth="1"/>
    <col min="7682" max="7682" width="18.7583333333333" style="55" customWidth="1"/>
    <col min="7683" max="7683" width="27.7583333333333" style="55" customWidth="1"/>
    <col min="7684" max="7684" width="11.125" style="55" customWidth="1"/>
    <col min="7685" max="7685" width="15.375" style="55" customWidth="1"/>
    <col min="7686" max="7686" width="9.375" style="55" customWidth="1"/>
    <col min="7687" max="7935" width="9" style="55"/>
    <col min="7936" max="7936" width="20.2583333333333" style="55" customWidth="1"/>
    <col min="7937" max="7937" width="11.625" style="55" customWidth="1"/>
    <col min="7938" max="7938" width="18.7583333333333" style="55" customWidth="1"/>
    <col min="7939" max="7939" width="27.7583333333333" style="55" customWidth="1"/>
    <col min="7940" max="7940" width="11.125" style="55" customWidth="1"/>
    <col min="7941" max="7941" width="15.375" style="55" customWidth="1"/>
    <col min="7942" max="7942" width="9.375" style="55" customWidth="1"/>
    <col min="7943" max="8191" width="9" style="55"/>
    <col min="8192" max="8192" width="20.2583333333333" style="55" customWidth="1"/>
    <col min="8193" max="8193" width="11.625" style="55" customWidth="1"/>
    <col min="8194" max="8194" width="18.7583333333333" style="55" customWidth="1"/>
    <col min="8195" max="8195" width="27.7583333333333" style="55" customWidth="1"/>
    <col min="8196" max="8196" width="11.125" style="55" customWidth="1"/>
    <col min="8197" max="8197" width="15.375" style="55" customWidth="1"/>
    <col min="8198" max="8198" width="9.375" style="55" customWidth="1"/>
    <col min="8199" max="8447" width="9" style="55"/>
    <col min="8448" max="8448" width="20.2583333333333" style="55" customWidth="1"/>
    <col min="8449" max="8449" width="11.625" style="55" customWidth="1"/>
    <col min="8450" max="8450" width="18.7583333333333" style="55" customWidth="1"/>
    <col min="8451" max="8451" width="27.7583333333333" style="55" customWidth="1"/>
    <col min="8452" max="8452" width="11.125" style="55" customWidth="1"/>
    <col min="8453" max="8453" width="15.375" style="55" customWidth="1"/>
    <col min="8454" max="8454" width="9.375" style="55" customWidth="1"/>
    <col min="8455" max="8703" width="9" style="55"/>
    <col min="8704" max="8704" width="20.2583333333333" style="55" customWidth="1"/>
    <col min="8705" max="8705" width="11.625" style="55" customWidth="1"/>
    <col min="8706" max="8706" width="18.7583333333333" style="55" customWidth="1"/>
    <col min="8707" max="8707" width="27.7583333333333" style="55" customWidth="1"/>
    <col min="8708" max="8708" width="11.125" style="55" customWidth="1"/>
    <col min="8709" max="8709" width="15.375" style="55" customWidth="1"/>
    <col min="8710" max="8710" width="9.375" style="55" customWidth="1"/>
    <col min="8711" max="8959" width="9" style="55"/>
    <col min="8960" max="8960" width="20.2583333333333" style="55" customWidth="1"/>
    <col min="8961" max="8961" width="11.625" style="55" customWidth="1"/>
    <col min="8962" max="8962" width="18.7583333333333" style="55" customWidth="1"/>
    <col min="8963" max="8963" width="27.7583333333333" style="55" customWidth="1"/>
    <col min="8964" max="8964" width="11.125" style="55" customWidth="1"/>
    <col min="8965" max="8965" width="15.375" style="55" customWidth="1"/>
    <col min="8966" max="8966" width="9.375" style="55" customWidth="1"/>
    <col min="8967" max="9215" width="9" style="55"/>
    <col min="9216" max="9216" width="20.2583333333333" style="55" customWidth="1"/>
    <col min="9217" max="9217" width="11.625" style="55" customWidth="1"/>
    <col min="9218" max="9218" width="18.7583333333333" style="55" customWidth="1"/>
    <col min="9219" max="9219" width="27.7583333333333" style="55" customWidth="1"/>
    <col min="9220" max="9220" width="11.125" style="55" customWidth="1"/>
    <col min="9221" max="9221" width="15.375" style="55" customWidth="1"/>
    <col min="9222" max="9222" width="9.375" style="55" customWidth="1"/>
    <col min="9223" max="9471" width="9" style="55"/>
    <col min="9472" max="9472" width="20.2583333333333" style="55" customWidth="1"/>
    <col min="9473" max="9473" width="11.625" style="55" customWidth="1"/>
    <col min="9474" max="9474" width="18.7583333333333" style="55" customWidth="1"/>
    <col min="9475" max="9475" width="27.7583333333333" style="55" customWidth="1"/>
    <col min="9476" max="9476" width="11.125" style="55" customWidth="1"/>
    <col min="9477" max="9477" width="15.375" style="55" customWidth="1"/>
    <col min="9478" max="9478" width="9.375" style="55" customWidth="1"/>
    <col min="9479" max="9727" width="9" style="55"/>
    <col min="9728" max="9728" width="20.2583333333333" style="55" customWidth="1"/>
    <col min="9729" max="9729" width="11.625" style="55" customWidth="1"/>
    <col min="9730" max="9730" width="18.7583333333333" style="55" customWidth="1"/>
    <col min="9731" max="9731" width="27.7583333333333" style="55" customWidth="1"/>
    <col min="9732" max="9732" width="11.125" style="55" customWidth="1"/>
    <col min="9733" max="9733" width="15.375" style="55" customWidth="1"/>
    <col min="9734" max="9734" width="9.375" style="55" customWidth="1"/>
    <col min="9735" max="9983" width="9" style="55"/>
    <col min="9984" max="9984" width="20.2583333333333" style="55" customWidth="1"/>
    <col min="9985" max="9985" width="11.625" style="55" customWidth="1"/>
    <col min="9986" max="9986" width="18.7583333333333" style="55" customWidth="1"/>
    <col min="9987" max="9987" width="27.7583333333333" style="55" customWidth="1"/>
    <col min="9988" max="9988" width="11.125" style="55" customWidth="1"/>
    <col min="9989" max="9989" width="15.375" style="55" customWidth="1"/>
    <col min="9990" max="9990" width="9.375" style="55" customWidth="1"/>
    <col min="9991" max="10239" width="9" style="55"/>
    <col min="10240" max="10240" width="20.2583333333333" style="55" customWidth="1"/>
    <col min="10241" max="10241" width="11.625" style="55" customWidth="1"/>
    <col min="10242" max="10242" width="18.7583333333333" style="55" customWidth="1"/>
    <col min="10243" max="10243" width="27.7583333333333" style="55" customWidth="1"/>
    <col min="10244" max="10244" width="11.125" style="55" customWidth="1"/>
    <col min="10245" max="10245" width="15.375" style="55" customWidth="1"/>
    <col min="10246" max="10246" width="9.375" style="55" customWidth="1"/>
    <col min="10247" max="10495" width="9" style="55"/>
    <col min="10496" max="10496" width="20.2583333333333" style="55" customWidth="1"/>
    <col min="10497" max="10497" width="11.625" style="55" customWidth="1"/>
    <col min="10498" max="10498" width="18.7583333333333" style="55" customWidth="1"/>
    <col min="10499" max="10499" width="27.7583333333333" style="55" customWidth="1"/>
    <col min="10500" max="10500" width="11.125" style="55" customWidth="1"/>
    <col min="10501" max="10501" width="15.375" style="55" customWidth="1"/>
    <col min="10502" max="10502" width="9.375" style="55" customWidth="1"/>
    <col min="10503" max="10751" width="9" style="55"/>
    <col min="10752" max="10752" width="20.2583333333333" style="55" customWidth="1"/>
    <col min="10753" max="10753" width="11.625" style="55" customWidth="1"/>
    <col min="10754" max="10754" width="18.7583333333333" style="55" customWidth="1"/>
    <col min="10755" max="10755" width="27.7583333333333" style="55" customWidth="1"/>
    <col min="10756" max="10756" width="11.125" style="55" customWidth="1"/>
    <col min="10757" max="10757" width="15.375" style="55" customWidth="1"/>
    <col min="10758" max="10758" width="9.375" style="55" customWidth="1"/>
    <col min="10759" max="11007" width="9" style="55"/>
    <col min="11008" max="11008" width="20.2583333333333" style="55" customWidth="1"/>
    <col min="11009" max="11009" width="11.625" style="55" customWidth="1"/>
    <col min="11010" max="11010" width="18.7583333333333" style="55" customWidth="1"/>
    <col min="11011" max="11011" width="27.7583333333333" style="55" customWidth="1"/>
    <col min="11012" max="11012" width="11.125" style="55" customWidth="1"/>
    <col min="11013" max="11013" width="15.375" style="55" customWidth="1"/>
    <col min="11014" max="11014" width="9.375" style="55" customWidth="1"/>
    <col min="11015" max="11263" width="9" style="55"/>
    <col min="11264" max="11264" width="20.2583333333333" style="55" customWidth="1"/>
    <col min="11265" max="11265" width="11.625" style="55" customWidth="1"/>
    <col min="11266" max="11266" width="18.7583333333333" style="55" customWidth="1"/>
    <col min="11267" max="11267" width="27.7583333333333" style="55" customWidth="1"/>
    <col min="11268" max="11268" width="11.125" style="55" customWidth="1"/>
    <col min="11269" max="11269" width="15.375" style="55" customWidth="1"/>
    <col min="11270" max="11270" width="9.375" style="55" customWidth="1"/>
    <col min="11271" max="11519" width="9" style="55"/>
    <col min="11520" max="11520" width="20.2583333333333" style="55" customWidth="1"/>
    <col min="11521" max="11521" width="11.625" style="55" customWidth="1"/>
    <col min="11522" max="11522" width="18.7583333333333" style="55" customWidth="1"/>
    <col min="11523" max="11523" width="27.7583333333333" style="55" customWidth="1"/>
    <col min="11524" max="11524" width="11.125" style="55" customWidth="1"/>
    <col min="11525" max="11525" width="15.375" style="55" customWidth="1"/>
    <col min="11526" max="11526" width="9.375" style="55" customWidth="1"/>
    <col min="11527" max="11775" width="9" style="55"/>
    <col min="11776" max="11776" width="20.2583333333333" style="55" customWidth="1"/>
    <col min="11777" max="11777" width="11.625" style="55" customWidth="1"/>
    <col min="11778" max="11778" width="18.7583333333333" style="55" customWidth="1"/>
    <col min="11779" max="11779" width="27.7583333333333" style="55" customWidth="1"/>
    <col min="11780" max="11780" width="11.125" style="55" customWidth="1"/>
    <col min="11781" max="11781" width="15.375" style="55" customWidth="1"/>
    <col min="11782" max="11782" width="9.375" style="55" customWidth="1"/>
    <col min="11783" max="12031" width="9" style="55"/>
    <col min="12032" max="12032" width="20.2583333333333" style="55" customWidth="1"/>
    <col min="12033" max="12033" width="11.625" style="55" customWidth="1"/>
    <col min="12034" max="12034" width="18.7583333333333" style="55" customWidth="1"/>
    <col min="12035" max="12035" width="27.7583333333333" style="55" customWidth="1"/>
    <col min="12036" max="12036" width="11.125" style="55" customWidth="1"/>
    <col min="12037" max="12037" width="15.375" style="55" customWidth="1"/>
    <col min="12038" max="12038" width="9.375" style="55" customWidth="1"/>
    <col min="12039" max="12287" width="9" style="55"/>
    <col min="12288" max="12288" width="20.2583333333333" style="55" customWidth="1"/>
    <col min="12289" max="12289" width="11.625" style="55" customWidth="1"/>
    <col min="12290" max="12290" width="18.7583333333333" style="55" customWidth="1"/>
    <col min="12291" max="12291" width="27.7583333333333" style="55" customWidth="1"/>
    <col min="12292" max="12292" width="11.125" style="55" customWidth="1"/>
    <col min="12293" max="12293" width="15.375" style="55" customWidth="1"/>
    <col min="12294" max="12294" width="9.375" style="55" customWidth="1"/>
    <col min="12295" max="12543" width="9" style="55"/>
    <col min="12544" max="12544" width="20.2583333333333" style="55" customWidth="1"/>
    <col min="12545" max="12545" width="11.625" style="55" customWidth="1"/>
    <col min="12546" max="12546" width="18.7583333333333" style="55" customWidth="1"/>
    <col min="12547" max="12547" width="27.7583333333333" style="55" customWidth="1"/>
    <col min="12548" max="12548" width="11.125" style="55" customWidth="1"/>
    <col min="12549" max="12549" width="15.375" style="55" customWidth="1"/>
    <col min="12550" max="12550" width="9.375" style="55" customWidth="1"/>
    <col min="12551" max="12799" width="9" style="55"/>
    <col min="12800" max="12800" width="20.2583333333333" style="55" customWidth="1"/>
    <col min="12801" max="12801" width="11.625" style="55" customWidth="1"/>
    <col min="12802" max="12802" width="18.7583333333333" style="55" customWidth="1"/>
    <col min="12803" max="12803" width="27.7583333333333" style="55" customWidth="1"/>
    <col min="12804" max="12804" width="11.125" style="55" customWidth="1"/>
    <col min="12805" max="12805" width="15.375" style="55" customWidth="1"/>
    <col min="12806" max="12806" width="9.375" style="55" customWidth="1"/>
    <col min="12807" max="13055" width="9" style="55"/>
    <col min="13056" max="13056" width="20.2583333333333" style="55" customWidth="1"/>
    <col min="13057" max="13057" width="11.625" style="55" customWidth="1"/>
    <col min="13058" max="13058" width="18.7583333333333" style="55" customWidth="1"/>
    <col min="13059" max="13059" width="27.7583333333333" style="55" customWidth="1"/>
    <col min="13060" max="13060" width="11.125" style="55" customWidth="1"/>
    <col min="13061" max="13061" width="15.375" style="55" customWidth="1"/>
    <col min="13062" max="13062" width="9.375" style="55" customWidth="1"/>
    <col min="13063" max="13311" width="9" style="55"/>
    <col min="13312" max="13312" width="20.2583333333333" style="55" customWidth="1"/>
    <col min="13313" max="13313" width="11.625" style="55" customWidth="1"/>
    <col min="13314" max="13314" width="18.7583333333333" style="55" customWidth="1"/>
    <col min="13315" max="13315" width="27.7583333333333" style="55" customWidth="1"/>
    <col min="13316" max="13316" width="11.125" style="55" customWidth="1"/>
    <col min="13317" max="13317" width="15.375" style="55" customWidth="1"/>
    <col min="13318" max="13318" width="9.375" style="55" customWidth="1"/>
    <col min="13319" max="13567" width="9" style="55"/>
    <col min="13568" max="13568" width="20.2583333333333" style="55" customWidth="1"/>
    <col min="13569" max="13569" width="11.625" style="55" customWidth="1"/>
    <col min="13570" max="13570" width="18.7583333333333" style="55" customWidth="1"/>
    <col min="13571" max="13571" width="27.7583333333333" style="55" customWidth="1"/>
    <col min="13572" max="13572" width="11.125" style="55" customWidth="1"/>
    <col min="13573" max="13573" width="15.375" style="55" customWidth="1"/>
    <col min="13574" max="13574" width="9.375" style="55" customWidth="1"/>
    <col min="13575" max="13823" width="9" style="55"/>
    <col min="13824" max="13824" width="20.2583333333333" style="55" customWidth="1"/>
    <col min="13825" max="13825" width="11.625" style="55" customWidth="1"/>
    <col min="13826" max="13826" width="18.7583333333333" style="55" customWidth="1"/>
    <col min="13827" max="13827" width="27.7583333333333" style="55" customWidth="1"/>
    <col min="13828" max="13828" width="11.125" style="55" customWidth="1"/>
    <col min="13829" max="13829" width="15.375" style="55" customWidth="1"/>
    <col min="13830" max="13830" width="9.375" style="55" customWidth="1"/>
    <col min="13831" max="14079" width="9" style="55"/>
    <col min="14080" max="14080" width="20.2583333333333" style="55" customWidth="1"/>
    <col min="14081" max="14081" width="11.625" style="55" customWidth="1"/>
    <col min="14082" max="14082" width="18.7583333333333" style="55" customWidth="1"/>
    <col min="14083" max="14083" width="27.7583333333333" style="55" customWidth="1"/>
    <col min="14084" max="14084" width="11.125" style="55" customWidth="1"/>
    <col min="14085" max="14085" width="15.375" style="55" customWidth="1"/>
    <col min="14086" max="14086" width="9.375" style="55" customWidth="1"/>
    <col min="14087" max="14335" width="9" style="55"/>
    <col min="14336" max="14336" width="20.2583333333333" style="55" customWidth="1"/>
    <col min="14337" max="14337" width="11.625" style="55" customWidth="1"/>
    <col min="14338" max="14338" width="18.7583333333333" style="55" customWidth="1"/>
    <col min="14339" max="14339" width="27.7583333333333" style="55" customWidth="1"/>
    <col min="14340" max="14340" width="11.125" style="55" customWidth="1"/>
    <col min="14341" max="14341" width="15.375" style="55" customWidth="1"/>
    <col min="14342" max="14342" width="9.375" style="55" customWidth="1"/>
    <col min="14343" max="14591" width="9" style="55"/>
    <col min="14592" max="14592" width="20.2583333333333" style="55" customWidth="1"/>
    <col min="14593" max="14593" width="11.625" style="55" customWidth="1"/>
    <col min="14594" max="14594" width="18.7583333333333" style="55" customWidth="1"/>
    <col min="14595" max="14595" width="27.7583333333333" style="55" customWidth="1"/>
    <col min="14596" max="14596" width="11.125" style="55" customWidth="1"/>
    <col min="14597" max="14597" width="15.375" style="55" customWidth="1"/>
    <col min="14598" max="14598" width="9.375" style="55" customWidth="1"/>
    <col min="14599" max="14847" width="9" style="55"/>
    <col min="14848" max="14848" width="20.2583333333333" style="55" customWidth="1"/>
    <col min="14849" max="14849" width="11.625" style="55" customWidth="1"/>
    <col min="14850" max="14850" width="18.7583333333333" style="55" customWidth="1"/>
    <col min="14851" max="14851" width="27.7583333333333" style="55" customWidth="1"/>
    <col min="14852" max="14852" width="11.125" style="55" customWidth="1"/>
    <col min="14853" max="14853" width="15.375" style="55" customWidth="1"/>
    <col min="14854" max="14854" width="9.375" style="55" customWidth="1"/>
    <col min="14855" max="15103" width="9" style="55"/>
    <col min="15104" max="15104" width="20.2583333333333" style="55" customWidth="1"/>
    <col min="15105" max="15105" width="11.625" style="55" customWidth="1"/>
    <col min="15106" max="15106" width="18.7583333333333" style="55" customWidth="1"/>
    <col min="15107" max="15107" width="27.7583333333333" style="55" customWidth="1"/>
    <col min="15108" max="15108" width="11.125" style="55" customWidth="1"/>
    <col min="15109" max="15109" width="15.375" style="55" customWidth="1"/>
    <col min="15110" max="15110" width="9.375" style="55" customWidth="1"/>
    <col min="15111" max="15359" width="9" style="55"/>
    <col min="15360" max="15360" width="20.2583333333333" style="55" customWidth="1"/>
    <col min="15361" max="15361" width="11.625" style="55" customWidth="1"/>
    <col min="15362" max="15362" width="18.7583333333333" style="55" customWidth="1"/>
    <col min="15363" max="15363" width="27.7583333333333" style="55" customWidth="1"/>
    <col min="15364" max="15364" width="11.125" style="55" customWidth="1"/>
    <col min="15365" max="15365" width="15.375" style="55" customWidth="1"/>
    <col min="15366" max="15366" width="9.375" style="55" customWidth="1"/>
    <col min="15367" max="15615" width="9" style="55"/>
    <col min="15616" max="15616" width="20.2583333333333" style="55" customWidth="1"/>
    <col min="15617" max="15617" width="11.625" style="55" customWidth="1"/>
    <col min="15618" max="15618" width="18.7583333333333" style="55" customWidth="1"/>
    <col min="15619" max="15619" width="27.7583333333333" style="55" customWidth="1"/>
    <col min="15620" max="15620" width="11.125" style="55" customWidth="1"/>
    <col min="15621" max="15621" width="15.375" style="55" customWidth="1"/>
    <col min="15622" max="15622" width="9.375" style="55" customWidth="1"/>
    <col min="15623" max="15871" width="9" style="55"/>
    <col min="15872" max="15872" width="20.2583333333333" style="55" customWidth="1"/>
    <col min="15873" max="15873" width="11.625" style="55" customWidth="1"/>
    <col min="15874" max="15874" width="18.7583333333333" style="55" customWidth="1"/>
    <col min="15875" max="15875" width="27.7583333333333" style="55" customWidth="1"/>
    <col min="15876" max="15876" width="11.125" style="55" customWidth="1"/>
    <col min="15877" max="15877" width="15.375" style="55" customWidth="1"/>
    <col min="15878" max="15878" width="9.375" style="55" customWidth="1"/>
    <col min="15879" max="16127" width="9" style="55"/>
    <col min="16128" max="16128" width="20.2583333333333" style="55" customWidth="1"/>
    <col min="16129" max="16129" width="11.625" style="55" customWidth="1"/>
    <col min="16130" max="16130" width="18.7583333333333" style="55" customWidth="1"/>
    <col min="16131" max="16131" width="27.7583333333333" style="55" customWidth="1"/>
    <col min="16132" max="16132" width="11.125" style="55" customWidth="1"/>
    <col min="16133" max="16133" width="15.375" style="55" customWidth="1"/>
    <col min="16134" max="16134" width="9.375" style="55" customWidth="1"/>
    <col min="16135" max="16384" width="9" style="55"/>
  </cols>
  <sheetData>
    <row r="1" spans="1:6">
      <c r="A1" s="30" t="s">
        <v>0</v>
      </c>
      <c r="B1" s="56" t="s">
        <v>1</v>
      </c>
      <c r="C1" s="57" t="s">
        <v>2</v>
      </c>
      <c r="D1" s="56" t="s">
        <v>3</v>
      </c>
      <c r="E1" s="56" t="s">
        <v>4</v>
      </c>
      <c r="F1" s="58"/>
    </row>
    <row r="2" ht="15" customHeight="1" spans="1:6">
      <c r="A2" s="56" t="s">
        <v>1991</v>
      </c>
      <c r="B2" s="56" t="s">
        <v>1992</v>
      </c>
      <c r="C2" s="57" t="s">
        <v>362</v>
      </c>
      <c r="D2" s="56" t="s">
        <v>7</v>
      </c>
      <c r="E2" s="59" t="s">
        <v>1993</v>
      </c>
      <c r="F2" s="58"/>
    </row>
    <row r="3" ht="15" customHeight="1" spans="1:6">
      <c r="A3" s="56" t="s">
        <v>1991</v>
      </c>
      <c r="B3" s="56" t="s">
        <v>1994</v>
      </c>
      <c r="C3" s="57" t="s">
        <v>1995</v>
      </c>
      <c r="D3" s="56" t="s">
        <v>7</v>
      </c>
      <c r="E3" s="59" t="s">
        <v>1993</v>
      </c>
      <c r="F3" s="58"/>
    </row>
    <row r="4" ht="15" customHeight="1" spans="1:6">
      <c r="A4" s="56" t="s">
        <v>1991</v>
      </c>
      <c r="B4" s="56" t="s">
        <v>1996</v>
      </c>
      <c r="C4" s="57" t="s">
        <v>103</v>
      </c>
      <c r="D4" s="56" t="s">
        <v>7</v>
      </c>
      <c r="E4" s="59" t="s">
        <v>1993</v>
      </c>
      <c r="F4" s="58"/>
    </row>
    <row r="5" ht="15" customHeight="1" spans="1:6">
      <c r="A5" s="56" t="s">
        <v>1991</v>
      </c>
      <c r="B5" s="56" t="s">
        <v>1997</v>
      </c>
      <c r="C5" s="57" t="s">
        <v>103</v>
      </c>
      <c r="D5" s="56" t="s">
        <v>7</v>
      </c>
      <c r="E5" s="59" t="s">
        <v>1993</v>
      </c>
      <c r="F5" s="58"/>
    </row>
    <row r="6" ht="15" customHeight="1" spans="1:6">
      <c r="A6" s="56" t="s">
        <v>1991</v>
      </c>
      <c r="B6" s="56" t="s">
        <v>1998</v>
      </c>
      <c r="C6" s="57" t="s">
        <v>103</v>
      </c>
      <c r="D6" s="56" t="s">
        <v>7</v>
      </c>
      <c r="E6" s="59" t="s">
        <v>1993</v>
      </c>
      <c r="F6" s="58"/>
    </row>
    <row r="7" ht="15" customHeight="1" spans="1:6">
      <c r="A7" s="56" t="s">
        <v>1991</v>
      </c>
      <c r="B7" s="56" t="s">
        <v>1999</v>
      </c>
      <c r="C7" s="57" t="s">
        <v>2000</v>
      </c>
      <c r="D7" s="56" t="s">
        <v>7</v>
      </c>
      <c r="E7" s="59" t="s">
        <v>1993</v>
      </c>
      <c r="F7" s="58"/>
    </row>
    <row r="8" ht="15" customHeight="1" spans="1:6">
      <c r="A8" s="56" t="s">
        <v>1991</v>
      </c>
      <c r="B8" s="56" t="s">
        <v>2001</v>
      </c>
      <c r="C8" s="57" t="s">
        <v>2000</v>
      </c>
      <c r="D8" s="56" t="s">
        <v>7</v>
      </c>
      <c r="E8" s="59" t="s">
        <v>1993</v>
      </c>
      <c r="F8" s="58"/>
    </row>
    <row r="9" ht="15" customHeight="1" spans="1:6">
      <c r="A9" s="56" t="s">
        <v>1991</v>
      </c>
      <c r="B9" s="56" t="s">
        <v>2002</v>
      </c>
      <c r="C9" s="57" t="s">
        <v>2000</v>
      </c>
      <c r="D9" s="56" t="s">
        <v>7</v>
      </c>
      <c r="E9" s="59" t="s">
        <v>1993</v>
      </c>
      <c r="F9" s="58"/>
    </row>
    <row r="10" ht="15" customHeight="1" spans="1:6">
      <c r="A10" s="56" t="s">
        <v>1991</v>
      </c>
      <c r="B10" s="56" t="s">
        <v>2003</v>
      </c>
      <c r="C10" s="57" t="s">
        <v>2004</v>
      </c>
      <c r="D10" s="56" t="s">
        <v>7</v>
      </c>
      <c r="E10" s="59" t="s">
        <v>1993</v>
      </c>
      <c r="F10" s="58"/>
    </row>
    <row r="11" ht="15" customHeight="1" spans="1:6">
      <c r="A11" s="56" t="s">
        <v>1991</v>
      </c>
      <c r="B11" s="56" t="s">
        <v>2005</v>
      </c>
      <c r="C11" s="57" t="s">
        <v>94</v>
      </c>
      <c r="D11" s="56" t="s">
        <v>7</v>
      </c>
      <c r="E11" s="59" t="s">
        <v>1993</v>
      </c>
      <c r="F11" s="58"/>
    </row>
    <row r="12" ht="15" customHeight="1" spans="1:6">
      <c r="A12" s="56" t="s">
        <v>1991</v>
      </c>
      <c r="B12" s="56" t="s">
        <v>2006</v>
      </c>
      <c r="C12" s="57" t="s">
        <v>175</v>
      </c>
      <c r="D12" s="56" t="s">
        <v>7</v>
      </c>
      <c r="E12" s="59" t="s">
        <v>1993</v>
      </c>
      <c r="F12" s="58"/>
    </row>
    <row r="13" ht="15" customHeight="1" spans="1:6">
      <c r="A13" s="56" t="s">
        <v>1991</v>
      </c>
      <c r="B13" s="56" t="s">
        <v>2007</v>
      </c>
      <c r="C13" s="57" t="s">
        <v>94</v>
      </c>
      <c r="D13" s="56" t="s">
        <v>7</v>
      </c>
      <c r="E13" s="59" t="s">
        <v>1993</v>
      </c>
      <c r="F13" s="58"/>
    </row>
    <row r="14" ht="15" customHeight="1" spans="1:6">
      <c r="A14" s="56" t="s">
        <v>1991</v>
      </c>
      <c r="B14" s="56" t="s">
        <v>2008</v>
      </c>
      <c r="C14" s="57" t="s">
        <v>2009</v>
      </c>
      <c r="D14" s="56" t="s">
        <v>7</v>
      </c>
      <c r="E14" s="59" t="s">
        <v>1993</v>
      </c>
      <c r="F14" s="58"/>
    </row>
    <row r="15" ht="15" customHeight="1" spans="1:6">
      <c r="A15" s="56" t="s">
        <v>1991</v>
      </c>
      <c r="B15" s="56" t="s">
        <v>2010</v>
      </c>
      <c r="C15" s="57" t="s">
        <v>1611</v>
      </c>
      <c r="D15" s="56" t="s">
        <v>7</v>
      </c>
      <c r="E15" s="59" t="s">
        <v>1993</v>
      </c>
      <c r="F15" s="58"/>
    </row>
    <row r="16" ht="15" customHeight="1" spans="1:6">
      <c r="A16" s="56" t="s">
        <v>1991</v>
      </c>
      <c r="B16" s="56" t="s">
        <v>2011</v>
      </c>
      <c r="C16" s="57" t="s">
        <v>2012</v>
      </c>
      <c r="D16" s="56" t="s">
        <v>7</v>
      </c>
      <c r="E16" s="59" t="s">
        <v>1993</v>
      </c>
      <c r="F16" s="58"/>
    </row>
    <row r="17" ht="15" customHeight="1" spans="1:6">
      <c r="A17" s="56" t="s">
        <v>1991</v>
      </c>
      <c r="B17" s="56" t="s">
        <v>2013</v>
      </c>
      <c r="C17" s="57" t="s">
        <v>2014</v>
      </c>
      <c r="D17" s="56" t="s">
        <v>7</v>
      </c>
      <c r="E17" s="59" t="s">
        <v>1993</v>
      </c>
      <c r="F17" s="58"/>
    </row>
    <row r="18" ht="15" customHeight="1" spans="1:6">
      <c r="A18" s="56" t="s">
        <v>1991</v>
      </c>
      <c r="B18" s="56" t="s">
        <v>2015</v>
      </c>
      <c r="C18" s="57" t="s">
        <v>2016</v>
      </c>
      <c r="D18" s="56" t="s">
        <v>7</v>
      </c>
      <c r="E18" s="59" t="s">
        <v>1993</v>
      </c>
      <c r="F18" s="58"/>
    </row>
    <row r="19" ht="15" customHeight="1" spans="1:6">
      <c r="A19" s="56" t="s">
        <v>1991</v>
      </c>
      <c r="B19" s="56" t="s">
        <v>2017</v>
      </c>
      <c r="C19" s="57" t="s">
        <v>2018</v>
      </c>
      <c r="D19" s="56" t="s">
        <v>7</v>
      </c>
      <c r="E19" s="59" t="s">
        <v>1993</v>
      </c>
      <c r="F19" s="58"/>
    </row>
    <row r="20" ht="15" customHeight="1" spans="1:6">
      <c r="A20" s="56" t="s">
        <v>1991</v>
      </c>
      <c r="B20" s="56" t="s">
        <v>2019</v>
      </c>
      <c r="C20" s="57" t="s">
        <v>2020</v>
      </c>
      <c r="D20" s="56" t="s">
        <v>7</v>
      </c>
      <c r="E20" s="59" t="s">
        <v>1993</v>
      </c>
      <c r="F20" s="58"/>
    </row>
    <row r="21" ht="15" customHeight="1" spans="1:6">
      <c r="A21" s="56" t="s">
        <v>1991</v>
      </c>
      <c r="B21" s="56" t="s">
        <v>2021</v>
      </c>
      <c r="C21" s="57" t="s">
        <v>2022</v>
      </c>
      <c r="D21" s="56" t="s">
        <v>7</v>
      </c>
      <c r="E21" s="59" t="s">
        <v>1993</v>
      </c>
      <c r="F21" s="58"/>
    </row>
    <row r="22" ht="15" customHeight="1" spans="1:6">
      <c r="A22" s="56" t="s">
        <v>1991</v>
      </c>
      <c r="B22" s="56" t="s">
        <v>2023</v>
      </c>
      <c r="C22" s="57" t="s">
        <v>2024</v>
      </c>
      <c r="D22" s="56" t="s">
        <v>7</v>
      </c>
      <c r="E22" s="59" t="s">
        <v>1993</v>
      </c>
      <c r="F22" s="58"/>
    </row>
    <row r="23" ht="15" customHeight="1" spans="1:6">
      <c r="A23" s="56" t="s">
        <v>1991</v>
      </c>
      <c r="B23" s="56" t="s">
        <v>2025</v>
      </c>
      <c r="C23" s="57" t="s">
        <v>96</v>
      </c>
      <c r="D23" s="56" t="s">
        <v>7</v>
      </c>
      <c r="E23" s="59" t="s">
        <v>1993</v>
      </c>
      <c r="F23" s="58"/>
    </row>
    <row r="24" ht="15" customHeight="1" spans="1:6">
      <c r="A24" s="56" t="s">
        <v>1991</v>
      </c>
      <c r="B24" s="56" t="s">
        <v>2026</v>
      </c>
      <c r="C24" s="57" t="s">
        <v>362</v>
      </c>
      <c r="D24" s="56" t="s">
        <v>7</v>
      </c>
      <c r="E24" s="59" t="s">
        <v>1993</v>
      </c>
      <c r="F24" s="58"/>
    </row>
    <row r="25" ht="15" customHeight="1" spans="1:6">
      <c r="A25" s="56" t="s">
        <v>1991</v>
      </c>
      <c r="B25" s="56" t="s">
        <v>2027</v>
      </c>
      <c r="C25" s="57" t="s">
        <v>177</v>
      </c>
      <c r="D25" s="56" t="s">
        <v>7</v>
      </c>
      <c r="E25" s="59" t="s">
        <v>1993</v>
      </c>
      <c r="F25" s="58"/>
    </row>
    <row r="26" ht="15" customHeight="1" spans="1:6">
      <c r="A26" s="56" t="s">
        <v>1991</v>
      </c>
      <c r="B26" s="56" t="s">
        <v>2028</v>
      </c>
      <c r="C26" s="57" t="s">
        <v>2029</v>
      </c>
      <c r="D26" s="56" t="s">
        <v>7</v>
      </c>
      <c r="E26" s="59" t="s">
        <v>1993</v>
      </c>
      <c r="F26" s="58"/>
    </row>
    <row r="27" ht="15" customHeight="1" spans="1:6">
      <c r="A27" s="56" t="s">
        <v>1991</v>
      </c>
      <c r="B27" s="56" t="s">
        <v>2030</v>
      </c>
      <c r="C27" s="57" t="s">
        <v>2029</v>
      </c>
      <c r="D27" s="56" t="s">
        <v>7</v>
      </c>
      <c r="E27" s="59" t="s">
        <v>1993</v>
      </c>
      <c r="F27" s="58"/>
    </row>
    <row r="28" ht="15" customHeight="1" spans="1:6">
      <c r="A28" s="56" t="s">
        <v>1991</v>
      </c>
      <c r="B28" s="56" t="s">
        <v>2031</v>
      </c>
      <c r="C28" s="57" t="s">
        <v>2029</v>
      </c>
      <c r="D28" s="56" t="s">
        <v>7</v>
      </c>
      <c r="E28" s="59" t="s">
        <v>1993</v>
      </c>
      <c r="F28" s="58"/>
    </row>
    <row r="29" ht="15" customHeight="1" spans="1:6">
      <c r="A29" s="56" t="s">
        <v>1991</v>
      </c>
      <c r="B29" s="56" t="s">
        <v>2032</v>
      </c>
      <c r="C29" s="57" t="s">
        <v>2029</v>
      </c>
      <c r="D29" s="56" t="s">
        <v>7</v>
      </c>
      <c r="E29" s="59" t="s">
        <v>1993</v>
      </c>
      <c r="F29" s="58"/>
    </row>
    <row r="30" ht="15" customHeight="1" spans="1:6">
      <c r="A30" s="56" t="s">
        <v>1991</v>
      </c>
      <c r="B30" s="56" t="s">
        <v>2033</v>
      </c>
      <c r="C30" s="57" t="s">
        <v>2029</v>
      </c>
      <c r="D30" s="56" t="s">
        <v>7</v>
      </c>
      <c r="E30" s="59" t="s">
        <v>1993</v>
      </c>
      <c r="F30" s="58"/>
    </row>
    <row r="31" ht="15" customHeight="1" spans="1:6">
      <c r="A31" s="56" t="s">
        <v>1991</v>
      </c>
      <c r="B31" s="56" t="s">
        <v>2034</v>
      </c>
      <c r="C31" s="57" t="s">
        <v>2029</v>
      </c>
      <c r="D31" s="56" t="s">
        <v>7</v>
      </c>
      <c r="E31" s="59" t="s">
        <v>1993</v>
      </c>
      <c r="F31" s="58"/>
    </row>
    <row r="32" ht="15" customHeight="1" spans="1:6">
      <c r="A32" s="56" t="s">
        <v>1991</v>
      </c>
      <c r="B32" s="56" t="s">
        <v>2035</v>
      </c>
      <c r="C32" s="57" t="s">
        <v>2029</v>
      </c>
      <c r="D32" s="56" t="s">
        <v>7</v>
      </c>
      <c r="E32" s="59" t="s">
        <v>1993</v>
      </c>
      <c r="F32" s="58"/>
    </row>
    <row r="33" ht="15" customHeight="1" spans="1:6">
      <c r="A33" s="56" t="s">
        <v>1991</v>
      </c>
      <c r="B33" s="56" t="s">
        <v>2036</v>
      </c>
      <c r="C33" s="57" t="s">
        <v>2029</v>
      </c>
      <c r="D33" s="56" t="s">
        <v>7</v>
      </c>
      <c r="E33" s="59" t="s">
        <v>1993</v>
      </c>
      <c r="F33" s="58"/>
    </row>
    <row r="34" ht="15" customHeight="1" spans="1:6">
      <c r="A34" s="56" t="s">
        <v>1991</v>
      </c>
      <c r="B34" s="56" t="s">
        <v>2037</v>
      </c>
      <c r="C34" s="57" t="s">
        <v>2029</v>
      </c>
      <c r="D34" s="56" t="s">
        <v>7</v>
      </c>
      <c r="E34" s="59" t="s">
        <v>1993</v>
      </c>
      <c r="F34" s="58"/>
    </row>
    <row r="35" ht="15" customHeight="1" spans="1:6">
      <c r="A35" s="56" t="s">
        <v>1991</v>
      </c>
      <c r="B35" s="56" t="s">
        <v>2038</v>
      </c>
      <c r="C35" s="57" t="s">
        <v>2029</v>
      </c>
      <c r="D35" s="56" t="s">
        <v>7</v>
      </c>
      <c r="E35" s="59" t="s">
        <v>1993</v>
      </c>
      <c r="F35" s="58"/>
    </row>
    <row r="36" ht="15" customHeight="1" spans="1:6">
      <c r="A36" s="56" t="s">
        <v>1991</v>
      </c>
      <c r="B36" s="56" t="s">
        <v>2039</v>
      </c>
      <c r="C36" s="57" t="s">
        <v>2029</v>
      </c>
      <c r="D36" s="56" t="s">
        <v>7</v>
      </c>
      <c r="E36" s="59" t="s">
        <v>1993</v>
      </c>
      <c r="F36" s="58"/>
    </row>
    <row r="37" ht="15" customHeight="1" spans="1:6">
      <c r="A37" s="56" t="s">
        <v>1991</v>
      </c>
      <c r="B37" s="56" t="s">
        <v>2040</v>
      </c>
      <c r="C37" s="57" t="s">
        <v>2029</v>
      </c>
      <c r="D37" s="56" t="s">
        <v>7</v>
      </c>
      <c r="E37" s="59" t="s">
        <v>1993</v>
      </c>
      <c r="F37" s="58"/>
    </row>
    <row r="38" ht="15" customHeight="1" spans="1:6">
      <c r="A38" s="56" t="s">
        <v>1991</v>
      </c>
      <c r="B38" s="56" t="s">
        <v>2041</v>
      </c>
      <c r="C38" s="57" t="s">
        <v>2029</v>
      </c>
      <c r="D38" s="56" t="s">
        <v>7</v>
      </c>
      <c r="E38" s="59" t="s">
        <v>1993</v>
      </c>
      <c r="F38" s="58"/>
    </row>
    <row r="39" ht="15" customHeight="1" spans="1:6">
      <c r="A39" s="56" t="s">
        <v>1991</v>
      </c>
      <c r="B39" s="56" t="s">
        <v>2042</v>
      </c>
      <c r="C39" s="57" t="s">
        <v>2029</v>
      </c>
      <c r="D39" s="56" t="s">
        <v>7</v>
      </c>
      <c r="E39" s="59" t="s">
        <v>1993</v>
      </c>
      <c r="F39" s="58"/>
    </row>
    <row r="40" ht="15" customHeight="1" spans="1:6">
      <c r="A40" s="56" t="s">
        <v>1991</v>
      </c>
      <c r="B40" s="56" t="s">
        <v>2043</v>
      </c>
      <c r="C40" s="57" t="s">
        <v>2029</v>
      </c>
      <c r="D40" s="56" t="s">
        <v>7</v>
      </c>
      <c r="E40" s="59" t="s">
        <v>1993</v>
      </c>
      <c r="F40" s="58"/>
    </row>
    <row r="41" ht="15" customHeight="1" spans="1:6">
      <c r="A41" s="56" t="s">
        <v>1991</v>
      </c>
      <c r="B41" s="56" t="s">
        <v>2044</v>
      </c>
      <c r="C41" s="57" t="s">
        <v>2029</v>
      </c>
      <c r="D41" s="56" t="s">
        <v>7</v>
      </c>
      <c r="E41" s="59" t="s">
        <v>1993</v>
      </c>
      <c r="F41" s="58"/>
    </row>
    <row r="42" ht="15" customHeight="1" spans="1:6">
      <c r="A42" s="56" t="s">
        <v>1991</v>
      </c>
      <c r="B42" s="56" t="s">
        <v>2045</v>
      </c>
      <c r="C42" s="57" t="s">
        <v>2029</v>
      </c>
      <c r="D42" s="56" t="s">
        <v>7</v>
      </c>
      <c r="E42" s="59" t="s">
        <v>1993</v>
      </c>
      <c r="F42" s="58"/>
    </row>
    <row r="43" ht="15" customHeight="1" spans="1:6">
      <c r="A43" s="56" t="s">
        <v>1991</v>
      </c>
      <c r="B43" s="56" t="s">
        <v>2046</v>
      </c>
      <c r="C43" s="57" t="s">
        <v>2029</v>
      </c>
      <c r="D43" s="56" t="s">
        <v>7</v>
      </c>
      <c r="E43" s="59" t="s">
        <v>1993</v>
      </c>
      <c r="F43" s="58"/>
    </row>
    <row r="44" ht="15" customHeight="1" spans="1:6">
      <c r="A44" s="56" t="s">
        <v>1991</v>
      </c>
      <c r="B44" s="56" t="s">
        <v>2047</v>
      </c>
      <c r="C44" s="57" t="s">
        <v>2029</v>
      </c>
      <c r="D44" s="56" t="s">
        <v>7</v>
      </c>
      <c r="E44" s="59" t="s">
        <v>1993</v>
      </c>
      <c r="F44" s="58"/>
    </row>
    <row r="45" ht="15" customHeight="1" spans="1:6">
      <c r="A45" s="56" t="s">
        <v>1991</v>
      </c>
      <c r="B45" s="56" t="s">
        <v>2048</v>
      </c>
      <c r="C45" s="57" t="s">
        <v>2029</v>
      </c>
      <c r="D45" s="56" t="s">
        <v>7</v>
      </c>
      <c r="E45" s="59" t="s">
        <v>1993</v>
      </c>
      <c r="F45" s="58"/>
    </row>
    <row r="46" ht="15" customHeight="1" spans="1:6">
      <c r="A46" s="56" t="s">
        <v>1991</v>
      </c>
      <c r="B46" s="56" t="s">
        <v>2049</v>
      </c>
      <c r="C46" s="57" t="s">
        <v>2029</v>
      </c>
      <c r="D46" s="56" t="s">
        <v>7</v>
      </c>
      <c r="E46" s="59" t="s">
        <v>1993</v>
      </c>
      <c r="F46" s="58"/>
    </row>
    <row r="47" ht="15" customHeight="1" spans="1:6">
      <c r="A47" s="56" t="s">
        <v>1991</v>
      </c>
      <c r="B47" s="56" t="s">
        <v>2050</v>
      </c>
      <c r="C47" s="57" t="s">
        <v>2029</v>
      </c>
      <c r="D47" s="56" t="s">
        <v>7</v>
      </c>
      <c r="E47" s="59" t="s">
        <v>1993</v>
      </c>
      <c r="F47" s="58"/>
    </row>
    <row r="48" ht="15" customHeight="1" spans="1:6">
      <c r="A48" s="56" t="s">
        <v>1991</v>
      </c>
      <c r="B48" s="56" t="s">
        <v>2051</v>
      </c>
      <c r="C48" s="57" t="s">
        <v>2029</v>
      </c>
      <c r="D48" s="56" t="s">
        <v>7</v>
      </c>
      <c r="E48" s="59" t="s">
        <v>1993</v>
      </c>
      <c r="F48" s="58"/>
    </row>
    <row r="49" ht="15" customHeight="1" spans="1:6">
      <c r="A49" s="56" t="s">
        <v>1991</v>
      </c>
      <c r="B49" s="56" t="s">
        <v>2052</v>
      </c>
      <c r="C49" s="57" t="s">
        <v>2029</v>
      </c>
      <c r="D49" s="56" t="s">
        <v>7</v>
      </c>
      <c r="E49" s="59" t="s">
        <v>1993</v>
      </c>
      <c r="F49" s="58"/>
    </row>
    <row r="50" ht="15" customHeight="1" spans="1:6">
      <c r="A50" s="56" t="s">
        <v>1991</v>
      </c>
      <c r="B50" s="56" t="s">
        <v>2053</v>
      </c>
      <c r="C50" s="57" t="s">
        <v>2029</v>
      </c>
      <c r="D50" s="56" t="s">
        <v>7</v>
      </c>
      <c r="E50" s="59" t="s">
        <v>1993</v>
      </c>
      <c r="F50" s="58"/>
    </row>
    <row r="51" ht="15" customHeight="1" spans="1:6">
      <c r="A51" s="56" t="s">
        <v>1991</v>
      </c>
      <c r="B51" s="56" t="s">
        <v>2054</v>
      </c>
      <c r="C51" s="57" t="s">
        <v>2029</v>
      </c>
      <c r="D51" s="56" t="s">
        <v>7</v>
      </c>
      <c r="E51" s="59" t="s">
        <v>1993</v>
      </c>
      <c r="F51" s="58"/>
    </row>
    <row r="52" ht="15" customHeight="1" spans="1:6">
      <c r="A52" s="56" t="s">
        <v>1991</v>
      </c>
      <c r="B52" s="56" t="s">
        <v>2055</v>
      </c>
      <c r="C52" s="57" t="s">
        <v>2029</v>
      </c>
      <c r="D52" s="56" t="s">
        <v>7</v>
      </c>
      <c r="E52" s="59" t="s">
        <v>1993</v>
      </c>
      <c r="F52" s="58"/>
    </row>
    <row r="53" ht="15" customHeight="1" spans="1:6">
      <c r="A53" s="56" t="s">
        <v>1991</v>
      </c>
      <c r="B53" s="56" t="s">
        <v>2056</v>
      </c>
      <c r="C53" s="57" t="s">
        <v>2029</v>
      </c>
      <c r="D53" s="56" t="s">
        <v>7</v>
      </c>
      <c r="E53" s="59" t="s">
        <v>1993</v>
      </c>
      <c r="F53" s="58"/>
    </row>
    <row r="54" ht="15" customHeight="1" spans="1:6">
      <c r="A54" s="56" t="s">
        <v>1991</v>
      </c>
      <c r="B54" s="56" t="s">
        <v>2057</v>
      </c>
      <c r="C54" s="57" t="s">
        <v>2029</v>
      </c>
      <c r="D54" s="56" t="s">
        <v>7</v>
      </c>
      <c r="E54" s="59" t="s">
        <v>1993</v>
      </c>
      <c r="F54" s="58"/>
    </row>
    <row r="55" ht="15" customHeight="1" spans="1:6">
      <c r="A55" s="56" t="s">
        <v>1991</v>
      </c>
      <c r="B55" s="56" t="s">
        <v>2058</v>
      </c>
      <c r="C55" s="57" t="s">
        <v>2029</v>
      </c>
      <c r="D55" s="56" t="s">
        <v>7</v>
      </c>
      <c r="E55" s="59" t="s">
        <v>1993</v>
      </c>
      <c r="F55" s="58"/>
    </row>
    <row r="56" ht="15" customHeight="1" spans="1:6">
      <c r="A56" s="56" t="s">
        <v>1991</v>
      </c>
      <c r="B56" s="56" t="s">
        <v>2059</v>
      </c>
      <c r="C56" s="57" t="s">
        <v>2060</v>
      </c>
      <c r="D56" s="56" t="s">
        <v>7</v>
      </c>
      <c r="E56" s="59" t="s">
        <v>1993</v>
      </c>
      <c r="F56" s="58"/>
    </row>
    <row r="57" ht="15" customHeight="1" spans="1:6">
      <c r="A57" s="56" t="s">
        <v>1991</v>
      </c>
      <c r="B57" s="56" t="s">
        <v>2061</v>
      </c>
      <c r="C57" s="57" t="s">
        <v>2060</v>
      </c>
      <c r="D57" s="56" t="s">
        <v>7</v>
      </c>
      <c r="E57" s="59" t="s">
        <v>1993</v>
      </c>
      <c r="F57" s="58"/>
    </row>
    <row r="58" ht="15" customHeight="1" spans="1:6">
      <c r="A58" s="56" t="s">
        <v>1991</v>
      </c>
      <c r="B58" s="56" t="s">
        <v>2062</v>
      </c>
      <c r="C58" s="57" t="s">
        <v>2063</v>
      </c>
      <c r="D58" s="56" t="s">
        <v>7</v>
      </c>
      <c r="E58" s="59" t="s">
        <v>1993</v>
      </c>
      <c r="F58" s="58"/>
    </row>
    <row r="59" ht="15" customHeight="1" spans="1:6">
      <c r="A59" s="56" t="s">
        <v>1991</v>
      </c>
      <c r="B59" s="56" t="s">
        <v>2064</v>
      </c>
      <c r="C59" s="57" t="s">
        <v>2063</v>
      </c>
      <c r="D59" s="56" t="s">
        <v>7</v>
      </c>
      <c r="E59" s="59" t="s">
        <v>1993</v>
      </c>
      <c r="F59" s="58"/>
    </row>
    <row r="60" ht="15" customHeight="1" spans="1:6">
      <c r="A60" s="56" t="s">
        <v>1991</v>
      </c>
      <c r="B60" s="56" t="s">
        <v>2065</v>
      </c>
      <c r="C60" s="57" t="s">
        <v>2066</v>
      </c>
      <c r="D60" s="56" t="s">
        <v>7</v>
      </c>
      <c r="E60" s="59" t="s">
        <v>1993</v>
      </c>
      <c r="F60" s="58"/>
    </row>
    <row r="61" ht="15" customHeight="1" spans="1:6">
      <c r="A61" s="56" t="s">
        <v>1991</v>
      </c>
      <c r="B61" s="56" t="s">
        <v>2067</v>
      </c>
      <c r="C61" s="57" t="s">
        <v>2066</v>
      </c>
      <c r="D61" s="56" t="s">
        <v>7</v>
      </c>
      <c r="E61" s="59" t="s">
        <v>1993</v>
      </c>
      <c r="F61" s="58"/>
    </row>
    <row r="62" ht="15" customHeight="1" spans="1:6">
      <c r="A62" s="56" t="s">
        <v>1991</v>
      </c>
      <c r="B62" s="56" t="s">
        <v>2068</v>
      </c>
      <c r="C62" s="57" t="s">
        <v>2066</v>
      </c>
      <c r="D62" s="56" t="s">
        <v>7</v>
      </c>
      <c r="E62" s="59" t="s">
        <v>1993</v>
      </c>
      <c r="F62" s="58"/>
    </row>
    <row r="63" ht="15" customHeight="1" spans="1:6">
      <c r="A63" s="56" t="s">
        <v>1991</v>
      </c>
      <c r="B63" s="56" t="s">
        <v>2069</v>
      </c>
      <c r="C63" s="57" t="s">
        <v>2066</v>
      </c>
      <c r="D63" s="56" t="s">
        <v>7</v>
      </c>
      <c r="E63" s="59" t="s">
        <v>1993</v>
      </c>
      <c r="F63" s="58"/>
    </row>
    <row r="64" ht="15" customHeight="1" spans="1:6">
      <c r="A64" s="56" t="s">
        <v>1991</v>
      </c>
      <c r="B64" s="56" t="s">
        <v>2070</v>
      </c>
      <c r="C64" s="57" t="s">
        <v>2066</v>
      </c>
      <c r="D64" s="56" t="s">
        <v>7</v>
      </c>
      <c r="E64" s="59" t="s">
        <v>1993</v>
      </c>
      <c r="F64" s="58"/>
    </row>
    <row r="65" ht="15" customHeight="1" spans="1:6">
      <c r="A65" s="56" t="s">
        <v>1991</v>
      </c>
      <c r="B65" s="56" t="s">
        <v>2071</v>
      </c>
      <c r="C65" s="57" t="s">
        <v>2066</v>
      </c>
      <c r="D65" s="56" t="s">
        <v>7</v>
      </c>
      <c r="E65" s="59" t="s">
        <v>1993</v>
      </c>
      <c r="F65" s="58"/>
    </row>
    <row r="66" ht="15" customHeight="1" spans="1:6">
      <c r="A66" s="56" t="s">
        <v>1991</v>
      </c>
      <c r="B66" s="56" t="s">
        <v>2072</v>
      </c>
      <c r="C66" s="57" t="s">
        <v>2066</v>
      </c>
      <c r="D66" s="56" t="s">
        <v>7</v>
      </c>
      <c r="E66" s="59" t="s">
        <v>1993</v>
      </c>
      <c r="F66" s="58"/>
    </row>
    <row r="67" ht="15" customHeight="1" spans="1:6">
      <c r="A67" s="56" t="s">
        <v>1991</v>
      </c>
      <c r="B67" s="56" t="s">
        <v>2073</v>
      </c>
      <c r="C67" s="57" t="s">
        <v>2066</v>
      </c>
      <c r="D67" s="56" t="s">
        <v>7</v>
      </c>
      <c r="E67" s="59" t="s">
        <v>1993</v>
      </c>
      <c r="F67" s="58"/>
    </row>
    <row r="68" ht="15" customHeight="1" spans="1:6">
      <c r="A68" s="56" t="s">
        <v>1991</v>
      </c>
      <c r="B68" s="56" t="s">
        <v>2074</v>
      </c>
      <c r="C68" s="57" t="s">
        <v>2066</v>
      </c>
      <c r="D68" s="56" t="s">
        <v>7</v>
      </c>
      <c r="E68" s="59" t="s">
        <v>1993</v>
      </c>
      <c r="F68" s="58"/>
    </row>
    <row r="69" ht="15" customHeight="1" spans="1:6">
      <c r="A69" s="56" t="s">
        <v>1991</v>
      </c>
      <c r="B69" s="56" t="s">
        <v>2075</v>
      </c>
      <c r="C69" s="57" t="s">
        <v>2066</v>
      </c>
      <c r="D69" s="56" t="s">
        <v>7</v>
      </c>
      <c r="E69" s="59" t="s">
        <v>1993</v>
      </c>
      <c r="F69" s="58"/>
    </row>
    <row r="70" ht="15" customHeight="1" spans="1:6">
      <c r="A70" s="56" t="s">
        <v>1991</v>
      </c>
      <c r="B70" s="56" t="s">
        <v>2076</v>
      </c>
      <c r="C70" s="57" t="s">
        <v>2066</v>
      </c>
      <c r="D70" s="56" t="s">
        <v>7</v>
      </c>
      <c r="E70" s="59" t="s">
        <v>1993</v>
      </c>
      <c r="F70" s="58"/>
    </row>
    <row r="71" ht="15" customHeight="1" spans="1:6">
      <c r="A71" s="56" t="s">
        <v>1991</v>
      </c>
      <c r="B71" s="56" t="s">
        <v>2077</v>
      </c>
      <c r="C71" s="57" t="s">
        <v>2066</v>
      </c>
      <c r="D71" s="56" t="s">
        <v>7</v>
      </c>
      <c r="E71" s="59" t="s">
        <v>1993</v>
      </c>
      <c r="F71" s="58"/>
    </row>
    <row r="72" ht="15" customHeight="1" spans="1:6">
      <c r="A72" s="56" t="s">
        <v>1991</v>
      </c>
      <c r="B72" s="56" t="s">
        <v>2078</v>
      </c>
      <c r="C72" s="57" t="s">
        <v>2066</v>
      </c>
      <c r="D72" s="56" t="s">
        <v>7</v>
      </c>
      <c r="E72" s="59" t="s">
        <v>1993</v>
      </c>
      <c r="F72" s="58"/>
    </row>
    <row r="73" ht="15" customHeight="1" spans="1:6">
      <c r="A73" s="56" t="s">
        <v>1991</v>
      </c>
      <c r="B73" s="56" t="s">
        <v>2079</v>
      </c>
      <c r="C73" s="57" t="s">
        <v>2066</v>
      </c>
      <c r="D73" s="56" t="s">
        <v>7</v>
      </c>
      <c r="E73" s="59" t="s">
        <v>1993</v>
      </c>
      <c r="F73" s="58"/>
    </row>
    <row r="74" ht="15" customHeight="1" spans="1:6">
      <c r="A74" s="56" t="s">
        <v>1991</v>
      </c>
      <c r="B74" s="56" t="s">
        <v>2080</v>
      </c>
      <c r="C74" s="57" t="s">
        <v>2066</v>
      </c>
      <c r="D74" s="56" t="s">
        <v>7</v>
      </c>
      <c r="E74" s="59" t="s">
        <v>1993</v>
      </c>
      <c r="F74" s="58"/>
    </row>
    <row r="75" ht="15" customHeight="1" spans="1:6">
      <c r="A75" s="56" t="s">
        <v>1991</v>
      </c>
      <c r="B75" s="56" t="s">
        <v>2081</v>
      </c>
      <c r="C75" s="57" t="s">
        <v>2066</v>
      </c>
      <c r="D75" s="56" t="s">
        <v>7</v>
      </c>
      <c r="E75" s="59" t="s">
        <v>1993</v>
      </c>
      <c r="F75" s="58"/>
    </row>
    <row r="76" ht="15" customHeight="1" spans="1:6">
      <c r="A76" s="56" t="s">
        <v>1991</v>
      </c>
      <c r="B76" s="56" t="s">
        <v>2082</v>
      </c>
      <c r="C76" s="57" t="s">
        <v>2066</v>
      </c>
      <c r="D76" s="56" t="s">
        <v>7</v>
      </c>
      <c r="E76" s="59" t="s">
        <v>1993</v>
      </c>
      <c r="F76" s="58"/>
    </row>
    <row r="77" ht="15" customHeight="1" spans="1:6">
      <c r="A77" s="56" t="s">
        <v>1991</v>
      </c>
      <c r="B77" s="56" t="s">
        <v>2083</v>
      </c>
      <c r="C77" s="57" t="s">
        <v>2066</v>
      </c>
      <c r="D77" s="56" t="s">
        <v>7</v>
      </c>
      <c r="E77" s="59" t="s">
        <v>1993</v>
      </c>
      <c r="F77" s="58"/>
    </row>
    <row r="78" ht="15" customHeight="1" spans="1:6">
      <c r="A78" s="56" t="s">
        <v>1991</v>
      </c>
      <c r="B78" s="56" t="s">
        <v>2084</v>
      </c>
      <c r="C78" s="57" t="s">
        <v>2066</v>
      </c>
      <c r="D78" s="56" t="s">
        <v>7</v>
      </c>
      <c r="E78" s="59" t="s">
        <v>1993</v>
      </c>
      <c r="F78" s="58"/>
    </row>
    <row r="79" ht="15" customHeight="1" spans="1:6">
      <c r="A79" s="56" t="s">
        <v>1991</v>
      </c>
      <c r="B79" s="56" t="s">
        <v>2085</v>
      </c>
      <c r="C79" s="57" t="s">
        <v>2066</v>
      </c>
      <c r="D79" s="56" t="s">
        <v>7</v>
      </c>
      <c r="E79" s="59" t="s">
        <v>1993</v>
      </c>
      <c r="F79" s="58"/>
    </row>
    <row r="80" ht="15" customHeight="1" spans="1:6">
      <c r="A80" s="56" t="s">
        <v>1991</v>
      </c>
      <c r="B80" s="56" t="s">
        <v>2086</v>
      </c>
      <c r="C80" s="57" t="s">
        <v>2066</v>
      </c>
      <c r="D80" s="56" t="s">
        <v>7</v>
      </c>
      <c r="E80" s="59" t="s">
        <v>1993</v>
      </c>
      <c r="F80" s="58"/>
    </row>
    <row r="81" ht="15" customHeight="1" spans="1:6">
      <c r="A81" s="56" t="s">
        <v>1991</v>
      </c>
      <c r="B81" s="56" t="s">
        <v>2087</v>
      </c>
      <c r="C81" s="57" t="s">
        <v>2066</v>
      </c>
      <c r="D81" s="56" t="s">
        <v>7</v>
      </c>
      <c r="E81" s="59" t="s">
        <v>1993</v>
      </c>
      <c r="F81" s="58"/>
    </row>
    <row r="82" ht="15" customHeight="1" spans="1:6">
      <c r="A82" s="56" t="s">
        <v>1991</v>
      </c>
      <c r="B82" s="56" t="s">
        <v>2088</v>
      </c>
      <c r="C82" s="57" t="s">
        <v>2066</v>
      </c>
      <c r="D82" s="56" t="s">
        <v>7</v>
      </c>
      <c r="E82" s="59" t="s">
        <v>1993</v>
      </c>
      <c r="F82" s="58"/>
    </row>
    <row r="83" ht="15" customHeight="1" spans="1:6">
      <c r="A83" s="56" t="s">
        <v>1991</v>
      </c>
      <c r="B83" s="56" t="s">
        <v>2089</v>
      </c>
      <c r="C83" s="57" t="s">
        <v>2066</v>
      </c>
      <c r="D83" s="56" t="s">
        <v>7</v>
      </c>
      <c r="E83" s="59" t="s">
        <v>1993</v>
      </c>
      <c r="F83" s="58"/>
    </row>
    <row r="84" ht="15" customHeight="1" spans="1:6">
      <c r="A84" s="56" t="s">
        <v>1991</v>
      </c>
      <c r="B84" s="56" t="s">
        <v>2090</v>
      </c>
      <c r="C84" s="57" t="s">
        <v>2066</v>
      </c>
      <c r="D84" s="56" t="s">
        <v>7</v>
      </c>
      <c r="E84" s="59" t="s">
        <v>1993</v>
      </c>
      <c r="F84" s="58"/>
    </row>
    <row r="85" ht="15" customHeight="1" spans="1:6">
      <c r="A85" s="56" t="s">
        <v>1991</v>
      </c>
      <c r="B85" s="56" t="s">
        <v>2091</v>
      </c>
      <c r="C85" s="57" t="s">
        <v>2066</v>
      </c>
      <c r="D85" s="56" t="s">
        <v>7</v>
      </c>
      <c r="E85" s="59" t="s">
        <v>1993</v>
      </c>
      <c r="F85" s="58"/>
    </row>
    <row r="86" ht="15" customHeight="1" spans="1:6">
      <c r="A86" s="56" t="s">
        <v>1991</v>
      </c>
      <c r="B86" s="56" t="s">
        <v>2092</v>
      </c>
      <c r="C86" s="57" t="s">
        <v>2066</v>
      </c>
      <c r="D86" s="56" t="s">
        <v>7</v>
      </c>
      <c r="E86" s="59" t="s">
        <v>1993</v>
      </c>
      <c r="F86" s="58"/>
    </row>
    <row r="87" ht="15" customHeight="1" spans="1:6">
      <c r="A87" s="56" t="s">
        <v>1991</v>
      </c>
      <c r="B87" s="56" t="s">
        <v>2093</v>
      </c>
      <c r="C87" s="57" t="s">
        <v>2066</v>
      </c>
      <c r="D87" s="56" t="s">
        <v>7</v>
      </c>
      <c r="E87" s="59" t="s">
        <v>1993</v>
      </c>
      <c r="F87" s="58"/>
    </row>
    <row r="88" ht="15" customHeight="1" spans="1:6">
      <c r="A88" s="56" t="s">
        <v>1991</v>
      </c>
      <c r="B88" s="56" t="s">
        <v>2094</v>
      </c>
      <c r="C88" s="57" t="s">
        <v>2066</v>
      </c>
      <c r="D88" s="56" t="s">
        <v>7</v>
      </c>
      <c r="E88" s="59" t="s">
        <v>1993</v>
      </c>
      <c r="F88" s="58"/>
    </row>
    <row r="89" ht="15" customHeight="1" spans="1:6">
      <c r="A89" s="56" t="s">
        <v>1991</v>
      </c>
      <c r="B89" s="56" t="s">
        <v>2095</v>
      </c>
      <c r="C89" s="57" t="s">
        <v>2066</v>
      </c>
      <c r="D89" s="56" t="s">
        <v>7</v>
      </c>
      <c r="E89" s="59" t="s">
        <v>1993</v>
      </c>
      <c r="F89" s="58"/>
    </row>
    <row r="90" ht="15" customHeight="1" spans="1:6">
      <c r="A90" s="56" t="s">
        <v>1991</v>
      </c>
      <c r="B90" s="56" t="s">
        <v>2096</v>
      </c>
      <c r="C90" s="57" t="s">
        <v>2066</v>
      </c>
      <c r="D90" s="56" t="s">
        <v>7</v>
      </c>
      <c r="E90" s="59" t="s">
        <v>1993</v>
      </c>
      <c r="F90" s="58"/>
    </row>
    <row r="91" ht="15" customHeight="1" spans="1:6">
      <c r="A91" s="56" t="s">
        <v>1991</v>
      </c>
      <c r="B91" s="56" t="s">
        <v>2097</v>
      </c>
      <c r="C91" s="57" t="s">
        <v>2066</v>
      </c>
      <c r="D91" s="56" t="s">
        <v>7</v>
      </c>
      <c r="E91" s="59" t="s">
        <v>1993</v>
      </c>
      <c r="F91" s="58"/>
    </row>
    <row r="92" ht="15" customHeight="1" spans="1:6">
      <c r="A92" s="56" t="s">
        <v>1991</v>
      </c>
      <c r="B92" s="56" t="s">
        <v>2098</v>
      </c>
      <c r="C92" s="57" t="s">
        <v>2066</v>
      </c>
      <c r="D92" s="56" t="s">
        <v>7</v>
      </c>
      <c r="E92" s="59" t="s">
        <v>1993</v>
      </c>
      <c r="F92" s="58"/>
    </row>
    <row r="93" ht="15" customHeight="1" spans="1:6">
      <c r="A93" s="56" t="s">
        <v>1991</v>
      </c>
      <c r="B93" s="56" t="s">
        <v>2099</v>
      </c>
      <c r="C93" s="57" t="s">
        <v>2066</v>
      </c>
      <c r="D93" s="56" t="s">
        <v>7</v>
      </c>
      <c r="E93" s="59" t="s">
        <v>1993</v>
      </c>
      <c r="F93" s="58"/>
    </row>
    <row r="94" ht="15" customHeight="1" spans="1:6">
      <c r="A94" s="56" t="s">
        <v>1991</v>
      </c>
      <c r="B94" s="56" t="s">
        <v>2100</v>
      </c>
      <c r="C94" s="57" t="s">
        <v>2066</v>
      </c>
      <c r="D94" s="56" t="s">
        <v>7</v>
      </c>
      <c r="E94" s="59" t="s">
        <v>1993</v>
      </c>
      <c r="F94" s="58"/>
    </row>
    <row r="95" ht="15" customHeight="1" spans="1:6">
      <c r="A95" s="56" t="s">
        <v>1991</v>
      </c>
      <c r="B95" s="56" t="s">
        <v>2101</v>
      </c>
      <c r="C95" s="57" t="s">
        <v>2066</v>
      </c>
      <c r="D95" s="56" t="s">
        <v>7</v>
      </c>
      <c r="E95" s="59" t="s">
        <v>1993</v>
      </c>
      <c r="F95" s="58"/>
    </row>
    <row r="96" ht="15" customHeight="1" spans="1:6">
      <c r="A96" s="56" t="s">
        <v>1991</v>
      </c>
      <c r="B96" s="56" t="s">
        <v>2102</v>
      </c>
      <c r="C96" s="57" t="s">
        <v>2066</v>
      </c>
      <c r="D96" s="56" t="s">
        <v>7</v>
      </c>
      <c r="E96" s="59" t="s">
        <v>1993</v>
      </c>
      <c r="F96" s="58"/>
    </row>
    <row r="97" ht="15" customHeight="1" spans="1:6">
      <c r="A97" s="56" t="s">
        <v>1991</v>
      </c>
      <c r="B97" s="56" t="s">
        <v>2103</v>
      </c>
      <c r="C97" s="57" t="s">
        <v>2066</v>
      </c>
      <c r="D97" s="56" t="s">
        <v>7</v>
      </c>
      <c r="E97" s="59" t="s">
        <v>1993</v>
      </c>
      <c r="F97" s="58"/>
    </row>
    <row r="98" ht="15" customHeight="1" spans="1:6">
      <c r="A98" s="56" t="s">
        <v>1991</v>
      </c>
      <c r="B98" s="56" t="s">
        <v>2104</v>
      </c>
      <c r="C98" s="57" t="s">
        <v>2066</v>
      </c>
      <c r="D98" s="56" t="s">
        <v>7</v>
      </c>
      <c r="E98" s="59" t="s">
        <v>1993</v>
      </c>
      <c r="F98" s="58"/>
    </row>
    <row r="99" ht="15" customHeight="1" spans="1:6">
      <c r="A99" s="56" t="s">
        <v>1991</v>
      </c>
      <c r="B99" s="56" t="s">
        <v>2105</v>
      </c>
      <c r="C99" s="57" t="s">
        <v>2066</v>
      </c>
      <c r="D99" s="56" t="s">
        <v>7</v>
      </c>
      <c r="E99" s="59" t="s">
        <v>1993</v>
      </c>
      <c r="F99" s="58"/>
    </row>
    <row r="100" ht="15" customHeight="1" spans="1:6">
      <c r="A100" s="56" t="s">
        <v>1991</v>
      </c>
      <c r="B100" s="56" t="s">
        <v>2106</v>
      </c>
      <c r="C100" s="57" t="s">
        <v>2066</v>
      </c>
      <c r="D100" s="56" t="s">
        <v>7</v>
      </c>
      <c r="E100" s="59" t="s">
        <v>1993</v>
      </c>
      <c r="F100" s="58"/>
    </row>
    <row r="101" ht="15" customHeight="1" spans="1:6">
      <c r="A101" s="56" t="s">
        <v>1991</v>
      </c>
      <c r="B101" s="56" t="s">
        <v>2107</v>
      </c>
      <c r="C101" s="57" t="s">
        <v>2066</v>
      </c>
      <c r="D101" s="56" t="s">
        <v>7</v>
      </c>
      <c r="E101" s="59" t="s">
        <v>1993</v>
      </c>
      <c r="F101" s="58"/>
    </row>
    <row r="102" ht="15" customHeight="1" spans="1:6">
      <c r="A102" s="56" t="s">
        <v>1991</v>
      </c>
      <c r="B102" s="56" t="s">
        <v>2108</v>
      </c>
      <c r="C102" s="57" t="s">
        <v>2066</v>
      </c>
      <c r="D102" s="56" t="s">
        <v>7</v>
      </c>
      <c r="E102" s="59" t="s">
        <v>1993</v>
      </c>
      <c r="F102" s="58"/>
    </row>
    <row r="103" ht="15" customHeight="1" spans="1:6">
      <c r="A103" s="56" t="s">
        <v>1991</v>
      </c>
      <c r="B103" s="56" t="s">
        <v>2109</v>
      </c>
      <c r="C103" s="57" t="s">
        <v>2066</v>
      </c>
      <c r="D103" s="56" t="s">
        <v>7</v>
      </c>
      <c r="E103" s="59" t="s">
        <v>1993</v>
      </c>
      <c r="F103" s="58"/>
    </row>
    <row r="104" ht="15" customHeight="1" spans="1:6">
      <c r="A104" s="56" t="s">
        <v>1991</v>
      </c>
      <c r="B104" s="56" t="s">
        <v>2110</v>
      </c>
      <c r="C104" s="57" t="s">
        <v>2066</v>
      </c>
      <c r="D104" s="56" t="s">
        <v>7</v>
      </c>
      <c r="E104" s="59" t="s">
        <v>1993</v>
      </c>
      <c r="F104" s="58"/>
    </row>
    <row r="105" ht="15" customHeight="1" spans="1:6">
      <c r="A105" s="56" t="s">
        <v>1991</v>
      </c>
      <c r="B105" s="56" t="s">
        <v>2111</v>
      </c>
      <c r="C105" s="57" t="s">
        <v>2066</v>
      </c>
      <c r="D105" s="56" t="s">
        <v>7</v>
      </c>
      <c r="E105" s="59" t="s">
        <v>1993</v>
      </c>
      <c r="F105" s="58"/>
    </row>
    <row r="106" ht="15" customHeight="1" spans="1:6">
      <c r="A106" s="56" t="s">
        <v>1991</v>
      </c>
      <c r="B106" s="56" t="s">
        <v>2112</v>
      </c>
      <c r="C106" s="57" t="s">
        <v>2066</v>
      </c>
      <c r="D106" s="56" t="s">
        <v>7</v>
      </c>
      <c r="E106" s="59" t="s">
        <v>1993</v>
      </c>
      <c r="F106" s="58"/>
    </row>
    <row r="107" ht="15" customHeight="1" spans="1:6">
      <c r="A107" s="56" t="s">
        <v>1991</v>
      </c>
      <c r="B107" s="56" t="s">
        <v>2113</v>
      </c>
      <c r="C107" s="57" t="s">
        <v>2066</v>
      </c>
      <c r="D107" s="56" t="s">
        <v>7</v>
      </c>
      <c r="E107" s="59" t="s">
        <v>1993</v>
      </c>
      <c r="F107" s="58"/>
    </row>
    <row r="108" ht="15" customHeight="1" spans="1:6">
      <c r="A108" s="56" t="s">
        <v>1991</v>
      </c>
      <c r="B108" s="56" t="s">
        <v>2114</v>
      </c>
      <c r="C108" s="57" t="s">
        <v>2066</v>
      </c>
      <c r="D108" s="56" t="s">
        <v>7</v>
      </c>
      <c r="E108" s="59" t="s">
        <v>1993</v>
      </c>
      <c r="F108" s="58"/>
    </row>
    <row r="109" ht="15" customHeight="1" spans="1:6">
      <c r="A109" s="56" t="s">
        <v>1991</v>
      </c>
      <c r="B109" s="56" t="s">
        <v>2115</v>
      </c>
      <c r="C109" s="57" t="s">
        <v>2066</v>
      </c>
      <c r="D109" s="56" t="s">
        <v>7</v>
      </c>
      <c r="E109" s="59" t="s">
        <v>1993</v>
      </c>
      <c r="F109" s="58"/>
    </row>
    <row r="110" ht="15" customHeight="1" spans="1:6">
      <c r="A110" s="56" t="s">
        <v>1991</v>
      </c>
      <c r="B110" s="56" t="s">
        <v>2116</v>
      </c>
      <c r="C110" s="57" t="s">
        <v>2066</v>
      </c>
      <c r="D110" s="56" t="s">
        <v>7</v>
      </c>
      <c r="E110" s="59" t="s">
        <v>1993</v>
      </c>
      <c r="F110" s="58"/>
    </row>
    <row r="111" ht="15" customHeight="1" spans="1:6">
      <c r="A111" s="56" t="s">
        <v>1991</v>
      </c>
      <c r="B111" s="56" t="s">
        <v>2117</v>
      </c>
      <c r="C111" s="57" t="s">
        <v>2066</v>
      </c>
      <c r="D111" s="56" t="s">
        <v>7</v>
      </c>
      <c r="E111" s="59" t="s">
        <v>1993</v>
      </c>
      <c r="F111" s="58"/>
    </row>
    <row r="112" ht="15" customHeight="1" spans="1:6">
      <c r="A112" s="56" t="s">
        <v>1991</v>
      </c>
      <c r="B112" s="56" t="s">
        <v>2118</v>
      </c>
      <c r="C112" s="57" t="s">
        <v>2066</v>
      </c>
      <c r="D112" s="56" t="s">
        <v>7</v>
      </c>
      <c r="E112" s="59" t="s">
        <v>1993</v>
      </c>
      <c r="F112" s="58"/>
    </row>
    <row r="113" ht="15" customHeight="1" spans="1:6">
      <c r="A113" s="56" t="s">
        <v>1991</v>
      </c>
      <c r="B113" s="56" t="s">
        <v>2119</v>
      </c>
      <c r="C113" s="57" t="s">
        <v>2066</v>
      </c>
      <c r="D113" s="56" t="s">
        <v>7</v>
      </c>
      <c r="E113" s="59" t="s">
        <v>1993</v>
      </c>
      <c r="F113" s="58"/>
    </row>
    <row r="114" ht="15" customHeight="1" spans="1:6">
      <c r="A114" s="56" t="s">
        <v>1991</v>
      </c>
      <c r="B114" s="56" t="s">
        <v>2120</v>
      </c>
      <c r="C114" s="57" t="s">
        <v>2121</v>
      </c>
      <c r="D114" s="56" t="s">
        <v>7</v>
      </c>
      <c r="E114" s="59" t="s">
        <v>1993</v>
      </c>
      <c r="F114" s="58"/>
    </row>
    <row r="115" ht="15" customHeight="1" spans="1:6">
      <c r="A115" s="56" t="s">
        <v>1991</v>
      </c>
      <c r="B115" s="56" t="s">
        <v>2122</v>
      </c>
      <c r="C115" s="57" t="s">
        <v>2121</v>
      </c>
      <c r="D115" s="56" t="s">
        <v>7</v>
      </c>
      <c r="E115" s="59" t="s">
        <v>1993</v>
      </c>
      <c r="F115" s="58"/>
    </row>
    <row r="116" ht="15" customHeight="1" spans="1:6">
      <c r="A116" s="56" t="s">
        <v>1991</v>
      </c>
      <c r="B116" s="56" t="s">
        <v>2123</v>
      </c>
      <c r="C116" s="57" t="s">
        <v>2121</v>
      </c>
      <c r="D116" s="56" t="s">
        <v>7</v>
      </c>
      <c r="E116" s="59" t="s">
        <v>1993</v>
      </c>
      <c r="F116" s="58"/>
    </row>
    <row r="117" ht="15" customHeight="1" spans="1:6">
      <c r="A117" s="56" t="s">
        <v>1991</v>
      </c>
      <c r="B117" s="56" t="s">
        <v>2124</v>
      </c>
      <c r="C117" s="57" t="s">
        <v>2125</v>
      </c>
      <c r="D117" s="56" t="s">
        <v>7</v>
      </c>
      <c r="E117" s="59" t="s">
        <v>1993</v>
      </c>
      <c r="F117" s="58"/>
    </row>
    <row r="118" ht="15" customHeight="1" spans="1:6">
      <c r="A118" s="56" t="s">
        <v>1991</v>
      </c>
      <c r="B118" s="56" t="s">
        <v>2126</v>
      </c>
      <c r="C118" s="57" t="s">
        <v>2125</v>
      </c>
      <c r="D118" s="56" t="s">
        <v>7</v>
      </c>
      <c r="E118" s="59" t="s">
        <v>1993</v>
      </c>
      <c r="F118" s="58"/>
    </row>
    <row r="119" ht="15" customHeight="1" spans="1:6">
      <c r="A119" s="56" t="s">
        <v>1991</v>
      </c>
      <c r="B119" s="56" t="s">
        <v>2127</v>
      </c>
      <c r="C119" s="57" t="s">
        <v>2125</v>
      </c>
      <c r="D119" s="56" t="s">
        <v>7</v>
      </c>
      <c r="E119" s="59" t="s">
        <v>1993</v>
      </c>
      <c r="F119" s="58"/>
    </row>
    <row r="120" ht="15" customHeight="1" spans="1:6">
      <c r="A120" s="56" t="s">
        <v>1991</v>
      </c>
      <c r="B120" s="56" t="s">
        <v>2128</v>
      </c>
      <c r="C120" s="57" t="s">
        <v>2125</v>
      </c>
      <c r="D120" s="56" t="s">
        <v>7</v>
      </c>
      <c r="E120" s="59" t="s">
        <v>1993</v>
      </c>
      <c r="F120" s="58"/>
    </row>
    <row r="121" ht="15" customHeight="1" spans="1:6">
      <c r="A121" s="56" t="s">
        <v>1991</v>
      </c>
      <c r="B121" s="56" t="s">
        <v>2129</v>
      </c>
      <c r="C121" s="57" t="s">
        <v>2130</v>
      </c>
      <c r="D121" s="56" t="s">
        <v>7</v>
      </c>
      <c r="E121" s="59" t="s">
        <v>1993</v>
      </c>
      <c r="F121" s="58"/>
    </row>
    <row r="122" ht="15" customHeight="1" spans="1:6">
      <c r="A122" s="56" t="s">
        <v>1991</v>
      </c>
      <c r="B122" s="56" t="s">
        <v>2131</v>
      </c>
      <c r="C122" s="57" t="s">
        <v>2132</v>
      </c>
      <c r="D122" s="56" t="s">
        <v>7</v>
      </c>
      <c r="E122" s="59" t="s">
        <v>1993</v>
      </c>
      <c r="F122" s="58"/>
    </row>
    <row r="123" ht="15" customHeight="1" spans="1:6">
      <c r="A123" s="56" t="s">
        <v>1991</v>
      </c>
      <c r="B123" s="56" t="s">
        <v>2133</v>
      </c>
      <c r="C123" s="57" t="s">
        <v>2134</v>
      </c>
      <c r="D123" s="56" t="s">
        <v>7</v>
      </c>
      <c r="E123" s="59" t="s">
        <v>1993</v>
      </c>
      <c r="F123" s="58"/>
    </row>
    <row r="124" ht="15" customHeight="1" spans="1:6">
      <c r="A124" s="56" t="s">
        <v>1991</v>
      </c>
      <c r="B124" s="56" t="s">
        <v>2135</v>
      </c>
      <c r="C124" s="57" t="s">
        <v>2136</v>
      </c>
      <c r="D124" s="56" t="s">
        <v>7</v>
      </c>
      <c r="E124" s="59" t="s">
        <v>1993</v>
      </c>
      <c r="F124" s="58"/>
    </row>
    <row r="125" ht="15" customHeight="1" spans="1:6">
      <c r="A125" s="56" t="s">
        <v>1991</v>
      </c>
      <c r="B125" s="56" t="s">
        <v>2137</v>
      </c>
      <c r="C125" s="57" t="s">
        <v>49</v>
      </c>
      <c r="D125" s="56" t="s">
        <v>7</v>
      </c>
      <c r="E125" s="59" t="s">
        <v>1993</v>
      </c>
      <c r="F125" s="58"/>
    </row>
    <row r="126" ht="15" customHeight="1" spans="1:6">
      <c r="A126" s="56" t="s">
        <v>1991</v>
      </c>
      <c r="B126" s="56" t="s">
        <v>2138</v>
      </c>
      <c r="C126" s="57" t="s">
        <v>2139</v>
      </c>
      <c r="D126" s="56" t="s">
        <v>7</v>
      </c>
      <c r="E126" s="59" t="s">
        <v>1993</v>
      </c>
      <c r="F126" s="58"/>
    </row>
    <row r="127" ht="15" customHeight="1" spans="1:6">
      <c r="A127" s="56" t="s">
        <v>1991</v>
      </c>
      <c r="B127" s="56" t="s">
        <v>2140</v>
      </c>
      <c r="C127" s="57" t="s">
        <v>362</v>
      </c>
      <c r="D127" s="56" t="s">
        <v>7</v>
      </c>
      <c r="E127" s="59" t="s">
        <v>1993</v>
      </c>
      <c r="F127" s="58"/>
    </row>
    <row r="128" ht="15" customHeight="1" spans="1:6">
      <c r="A128" s="56" t="s">
        <v>1991</v>
      </c>
      <c r="B128" s="56" t="s">
        <v>2141</v>
      </c>
      <c r="C128" s="57" t="s">
        <v>108</v>
      </c>
      <c r="D128" s="56" t="s">
        <v>7</v>
      </c>
      <c r="E128" s="59" t="s">
        <v>1993</v>
      </c>
      <c r="F128" s="58"/>
    </row>
    <row r="129" ht="15" customHeight="1" spans="1:6">
      <c r="A129" s="56" t="s">
        <v>1991</v>
      </c>
      <c r="B129" s="56" t="s">
        <v>2142</v>
      </c>
      <c r="C129" s="57" t="s">
        <v>2143</v>
      </c>
      <c r="D129" s="56" t="s">
        <v>7</v>
      </c>
      <c r="E129" s="59" t="s">
        <v>1993</v>
      </c>
      <c r="F129" s="58"/>
    </row>
    <row r="130" ht="15" customHeight="1" spans="1:6">
      <c r="A130" s="56" t="s">
        <v>1991</v>
      </c>
      <c r="B130" s="56" t="s">
        <v>2144</v>
      </c>
      <c r="C130" s="57" t="s">
        <v>410</v>
      </c>
      <c r="D130" s="56" t="s">
        <v>7</v>
      </c>
      <c r="E130" s="59" t="s">
        <v>1993</v>
      </c>
      <c r="F130" s="58"/>
    </row>
    <row r="131" ht="15" customHeight="1" spans="1:6">
      <c r="A131" s="56" t="s">
        <v>1991</v>
      </c>
      <c r="B131" s="56" t="s">
        <v>2145</v>
      </c>
      <c r="C131" s="57" t="s">
        <v>2146</v>
      </c>
      <c r="D131" s="56" t="s">
        <v>7</v>
      </c>
      <c r="E131" s="59" t="s">
        <v>1993</v>
      </c>
      <c r="F131" s="58"/>
    </row>
    <row r="132" ht="15" customHeight="1" spans="1:6">
      <c r="A132" s="56" t="s">
        <v>1991</v>
      </c>
      <c r="B132" s="56" t="s">
        <v>2147</v>
      </c>
      <c r="C132" s="57" t="s">
        <v>2146</v>
      </c>
      <c r="D132" s="56" t="s">
        <v>7</v>
      </c>
      <c r="E132" s="59" t="s">
        <v>1993</v>
      </c>
      <c r="F132" s="58"/>
    </row>
    <row r="133" ht="15" customHeight="1" spans="1:6">
      <c r="A133" s="56" t="s">
        <v>1991</v>
      </c>
      <c r="B133" s="56" t="s">
        <v>2148</v>
      </c>
      <c r="C133" s="57" t="s">
        <v>2146</v>
      </c>
      <c r="D133" s="56" t="s">
        <v>7</v>
      </c>
      <c r="E133" s="59" t="s">
        <v>1993</v>
      </c>
      <c r="F133" s="58"/>
    </row>
    <row r="134" ht="15" customHeight="1" spans="1:6">
      <c r="A134" s="56" t="s">
        <v>1991</v>
      </c>
      <c r="B134" s="56" t="s">
        <v>2149</v>
      </c>
      <c r="C134" s="57" t="s">
        <v>2146</v>
      </c>
      <c r="D134" s="56" t="s">
        <v>7</v>
      </c>
      <c r="E134" s="59" t="s">
        <v>1993</v>
      </c>
      <c r="F134" s="58"/>
    </row>
    <row r="135" ht="15" customHeight="1" spans="1:6">
      <c r="A135" s="56" t="s">
        <v>1991</v>
      </c>
      <c r="B135" s="56" t="s">
        <v>2150</v>
      </c>
      <c r="C135" s="57" t="s">
        <v>2146</v>
      </c>
      <c r="D135" s="56" t="s">
        <v>7</v>
      </c>
      <c r="E135" s="59" t="s">
        <v>1993</v>
      </c>
      <c r="F135" s="58"/>
    </row>
    <row r="136" ht="15" customHeight="1" spans="1:6">
      <c r="A136" s="56" t="s">
        <v>1991</v>
      </c>
      <c r="B136" s="56" t="s">
        <v>2151</v>
      </c>
      <c r="C136" s="57" t="s">
        <v>2146</v>
      </c>
      <c r="D136" s="56" t="s">
        <v>7</v>
      </c>
      <c r="E136" s="59" t="s">
        <v>1993</v>
      </c>
      <c r="F136" s="58"/>
    </row>
    <row r="137" ht="15" customHeight="1" spans="1:6">
      <c r="A137" s="56" t="s">
        <v>1991</v>
      </c>
      <c r="B137" s="56" t="s">
        <v>2152</v>
      </c>
      <c r="C137" s="57" t="s">
        <v>2146</v>
      </c>
      <c r="D137" s="56" t="s">
        <v>7</v>
      </c>
      <c r="E137" s="59" t="s">
        <v>1993</v>
      </c>
      <c r="F137" s="58"/>
    </row>
    <row r="138" ht="15" customHeight="1" spans="1:6">
      <c r="A138" s="56" t="s">
        <v>1991</v>
      </c>
      <c r="B138" s="56" t="s">
        <v>2153</v>
      </c>
      <c r="C138" s="57" t="s">
        <v>2146</v>
      </c>
      <c r="D138" s="56" t="s">
        <v>7</v>
      </c>
      <c r="E138" s="59" t="s">
        <v>1993</v>
      </c>
      <c r="F138" s="58"/>
    </row>
    <row r="139" ht="15" customHeight="1" spans="1:6">
      <c r="A139" s="56" t="s">
        <v>1991</v>
      </c>
      <c r="B139" s="56" t="s">
        <v>2154</v>
      </c>
      <c r="C139" s="57" t="s">
        <v>2146</v>
      </c>
      <c r="D139" s="56" t="s">
        <v>7</v>
      </c>
      <c r="E139" s="59" t="s">
        <v>1993</v>
      </c>
      <c r="F139" s="58"/>
    </row>
    <row r="140" ht="15" customHeight="1" spans="1:6">
      <c r="A140" s="56" t="s">
        <v>1991</v>
      </c>
      <c r="B140" s="56" t="s">
        <v>2155</v>
      </c>
      <c r="C140" s="57" t="s">
        <v>2146</v>
      </c>
      <c r="D140" s="56" t="s">
        <v>7</v>
      </c>
      <c r="E140" s="59" t="s">
        <v>1993</v>
      </c>
      <c r="F140" s="58"/>
    </row>
    <row r="141" ht="15" customHeight="1" spans="1:6">
      <c r="A141" s="56" t="s">
        <v>1991</v>
      </c>
      <c r="B141" s="56" t="s">
        <v>2156</v>
      </c>
      <c r="C141" s="57" t="s">
        <v>2146</v>
      </c>
      <c r="D141" s="56" t="s">
        <v>7</v>
      </c>
      <c r="E141" s="59" t="s">
        <v>1993</v>
      </c>
      <c r="F141" s="58"/>
    </row>
    <row r="142" ht="15" customHeight="1" spans="1:6">
      <c r="A142" s="56" t="s">
        <v>1991</v>
      </c>
      <c r="B142" s="56" t="s">
        <v>2157</v>
      </c>
      <c r="C142" s="57" t="s">
        <v>2146</v>
      </c>
      <c r="D142" s="56" t="s">
        <v>7</v>
      </c>
      <c r="E142" s="59" t="s">
        <v>1993</v>
      </c>
      <c r="F142" s="58"/>
    </row>
    <row r="143" ht="15" customHeight="1" spans="1:6">
      <c r="A143" s="56" t="s">
        <v>1991</v>
      </c>
      <c r="B143" s="56" t="s">
        <v>2158</v>
      </c>
      <c r="C143" s="57" t="s">
        <v>2146</v>
      </c>
      <c r="D143" s="56" t="s">
        <v>7</v>
      </c>
      <c r="E143" s="59" t="s">
        <v>1993</v>
      </c>
      <c r="F143" s="58"/>
    </row>
    <row r="144" ht="15" customHeight="1" spans="1:6">
      <c r="A144" s="56" t="s">
        <v>1991</v>
      </c>
      <c r="B144" s="56" t="s">
        <v>2159</v>
      </c>
      <c r="C144" s="57" t="s">
        <v>2146</v>
      </c>
      <c r="D144" s="56" t="s">
        <v>7</v>
      </c>
      <c r="E144" s="59" t="s">
        <v>1993</v>
      </c>
      <c r="F144" s="58"/>
    </row>
    <row r="145" ht="15" customHeight="1" spans="1:6">
      <c r="A145" s="56" t="s">
        <v>1991</v>
      </c>
      <c r="B145" s="56" t="s">
        <v>2160</v>
      </c>
      <c r="C145" s="57" t="s">
        <v>2146</v>
      </c>
      <c r="D145" s="56" t="s">
        <v>7</v>
      </c>
      <c r="E145" s="59" t="s">
        <v>1993</v>
      </c>
      <c r="F145" s="58"/>
    </row>
    <row r="146" ht="15" customHeight="1" spans="1:6">
      <c r="A146" s="56" t="s">
        <v>1991</v>
      </c>
      <c r="B146" s="56" t="s">
        <v>2161</v>
      </c>
      <c r="C146" s="57" t="s">
        <v>2146</v>
      </c>
      <c r="D146" s="56" t="s">
        <v>7</v>
      </c>
      <c r="E146" s="59" t="s">
        <v>1993</v>
      </c>
      <c r="F146" s="58"/>
    </row>
    <row r="147" ht="15" customHeight="1" spans="1:6">
      <c r="A147" s="56" t="s">
        <v>1991</v>
      </c>
      <c r="B147" s="56" t="s">
        <v>2162</v>
      </c>
      <c r="C147" s="57" t="s">
        <v>2146</v>
      </c>
      <c r="D147" s="56" t="s">
        <v>7</v>
      </c>
      <c r="E147" s="59" t="s">
        <v>1993</v>
      </c>
      <c r="F147" s="58"/>
    </row>
    <row r="148" ht="15" customHeight="1" spans="1:6">
      <c r="A148" s="56" t="s">
        <v>1991</v>
      </c>
      <c r="B148" s="56" t="s">
        <v>2163</v>
      </c>
      <c r="C148" s="57" t="s">
        <v>2146</v>
      </c>
      <c r="D148" s="56" t="s">
        <v>7</v>
      </c>
      <c r="E148" s="59" t="s">
        <v>1993</v>
      </c>
      <c r="F148" s="58"/>
    </row>
    <row r="149" ht="15" customHeight="1" spans="1:6">
      <c r="A149" s="56" t="s">
        <v>1991</v>
      </c>
      <c r="B149" s="56" t="s">
        <v>2164</v>
      </c>
      <c r="C149" s="57" t="s">
        <v>2146</v>
      </c>
      <c r="D149" s="56" t="s">
        <v>7</v>
      </c>
      <c r="E149" s="59" t="s">
        <v>1993</v>
      </c>
      <c r="F149" s="58"/>
    </row>
    <row r="150" ht="15" customHeight="1" spans="1:6">
      <c r="A150" s="56" t="s">
        <v>1991</v>
      </c>
      <c r="B150" s="56" t="s">
        <v>2165</v>
      </c>
      <c r="C150" s="57" t="s">
        <v>2146</v>
      </c>
      <c r="D150" s="56" t="s">
        <v>7</v>
      </c>
      <c r="E150" s="59" t="s">
        <v>1993</v>
      </c>
      <c r="F150" s="58"/>
    </row>
    <row r="151" ht="15" customHeight="1" spans="1:6">
      <c r="A151" s="56" t="s">
        <v>1991</v>
      </c>
      <c r="B151" s="56" t="s">
        <v>2166</v>
      </c>
      <c r="C151" s="57" t="s">
        <v>2146</v>
      </c>
      <c r="D151" s="56" t="s">
        <v>7</v>
      </c>
      <c r="E151" s="59" t="s">
        <v>1993</v>
      </c>
      <c r="F151" s="58"/>
    </row>
    <row r="152" ht="15" customHeight="1" spans="1:6">
      <c r="A152" s="56" t="s">
        <v>1991</v>
      </c>
      <c r="B152" s="56" t="s">
        <v>2167</v>
      </c>
      <c r="C152" s="57" t="s">
        <v>2146</v>
      </c>
      <c r="D152" s="56" t="s">
        <v>7</v>
      </c>
      <c r="E152" s="59" t="s">
        <v>1993</v>
      </c>
      <c r="F152" s="58"/>
    </row>
    <row r="153" ht="15" customHeight="1" spans="1:6">
      <c r="A153" s="56" t="s">
        <v>1991</v>
      </c>
      <c r="B153" s="56" t="s">
        <v>2168</v>
      </c>
      <c r="C153" s="57" t="s">
        <v>2146</v>
      </c>
      <c r="D153" s="56" t="s">
        <v>7</v>
      </c>
      <c r="E153" s="59" t="s">
        <v>1993</v>
      </c>
      <c r="F153" s="58"/>
    </row>
    <row r="154" ht="15" customHeight="1" spans="1:6">
      <c r="A154" s="56" t="s">
        <v>1991</v>
      </c>
      <c r="B154" s="56" t="s">
        <v>2169</v>
      </c>
      <c r="C154" s="57" t="s">
        <v>2146</v>
      </c>
      <c r="D154" s="56" t="s">
        <v>7</v>
      </c>
      <c r="E154" s="59" t="s">
        <v>1993</v>
      </c>
      <c r="F154" s="58"/>
    </row>
    <row r="155" ht="15" customHeight="1" spans="1:6">
      <c r="A155" s="56" t="s">
        <v>1991</v>
      </c>
      <c r="B155" s="56" t="s">
        <v>2170</v>
      </c>
      <c r="C155" s="57" t="s">
        <v>2146</v>
      </c>
      <c r="D155" s="56" t="s">
        <v>7</v>
      </c>
      <c r="E155" s="59" t="s">
        <v>1993</v>
      </c>
      <c r="F155" s="58"/>
    </row>
    <row r="156" ht="15" customHeight="1" spans="1:6">
      <c r="A156" s="56" t="s">
        <v>1991</v>
      </c>
      <c r="B156" s="56" t="s">
        <v>2171</v>
      </c>
      <c r="C156" s="57" t="s">
        <v>2146</v>
      </c>
      <c r="D156" s="56" t="s">
        <v>7</v>
      </c>
      <c r="E156" s="59" t="s">
        <v>1993</v>
      </c>
      <c r="F156" s="58"/>
    </row>
    <row r="157" ht="15" customHeight="1" spans="1:6">
      <c r="A157" s="56" t="s">
        <v>1991</v>
      </c>
      <c r="B157" s="56" t="s">
        <v>2172</v>
      </c>
      <c r="C157" s="57" t="s">
        <v>2146</v>
      </c>
      <c r="D157" s="56" t="s">
        <v>7</v>
      </c>
      <c r="E157" s="59" t="s">
        <v>1993</v>
      </c>
      <c r="F157" s="58"/>
    </row>
    <row r="158" ht="15" customHeight="1" spans="1:6">
      <c r="A158" s="56" t="s">
        <v>1991</v>
      </c>
      <c r="B158" s="56" t="s">
        <v>2173</v>
      </c>
      <c r="C158" s="57" t="s">
        <v>2146</v>
      </c>
      <c r="D158" s="56" t="s">
        <v>7</v>
      </c>
      <c r="E158" s="59" t="s">
        <v>1993</v>
      </c>
      <c r="F158" s="58"/>
    </row>
    <row r="159" ht="15" customHeight="1" spans="1:6">
      <c r="A159" s="56" t="s">
        <v>1991</v>
      </c>
      <c r="B159" s="56" t="s">
        <v>2174</v>
      </c>
      <c r="C159" s="57" t="s">
        <v>2146</v>
      </c>
      <c r="D159" s="56" t="s">
        <v>7</v>
      </c>
      <c r="E159" s="59" t="s">
        <v>1993</v>
      </c>
      <c r="F159" s="58"/>
    </row>
    <row r="160" ht="15" customHeight="1" spans="1:6">
      <c r="A160" s="56" t="s">
        <v>1991</v>
      </c>
      <c r="B160" s="56" t="s">
        <v>2175</v>
      </c>
      <c r="C160" s="57" t="s">
        <v>2146</v>
      </c>
      <c r="D160" s="56" t="s">
        <v>7</v>
      </c>
      <c r="E160" s="59" t="s">
        <v>1993</v>
      </c>
      <c r="F160" s="58"/>
    </row>
    <row r="161" ht="15" customHeight="1" spans="1:6">
      <c r="A161" s="56" t="s">
        <v>1991</v>
      </c>
      <c r="B161" s="56" t="s">
        <v>2176</v>
      </c>
      <c r="C161" s="57" t="s">
        <v>2146</v>
      </c>
      <c r="D161" s="56" t="s">
        <v>7</v>
      </c>
      <c r="E161" s="59" t="s">
        <v>1993</v>
      </c>
      <c r="F161" s="58"/>
    </row>
    <row r="162" ht="15" customHeight="1" spans="1:6">
      <c r="A162" s="56" t="s">
        <v>1991</v>
      </c>
      <c r="B162" s="56" t="s">
        <v>2177</v>
      </c>
      <c r="C162" s="57" t="s">
        <v>2146</v>
      </c>
      <c r="D162" s="56" t="s">
        <v>7</v>
      </c>
      <c r="E162" s="59" t="s">
        <v>1993</v>
      </c>
      <c r="F162" s="58"/>
    </row>
    <row r="163" ht="15" customHeight="1" spans="1:6">
      <c r="A163" s="56" t="s">
        <v>1991</v>
      </c>
      <c r="B163" s="56" t="s">
        <v>2178</v>
      </c>
      <c r="C163" s="57" t="s">
        <v>2146</v>
      </c>
      <c r="D163" s="56" t="s">
        <v>7</v>
      </c>
      <c r="E163" s="59" t="s">
        <v>1993</v>
      </c>
      <c r="F163" s="58"/>
    </row>
    <row r="164" ht="15" customHeight="1" spans="1:6">
      <c r="A164" s="56" t="s">
        <v>1991</v>
      </c>
      <c r="B164" s="56" t="s">
        <v>2179</v>
      </c>
      <c r="C164" s="57" t="s">
        <v>2146</v>
      </c>
      <c r="D164" s="56" t="s">
        <v>7</v>
      </c>
      <c r="E164" s="59" t="s">
        <v>1993</v>
      </c>
      <c r="F164" s="58"/>
    </row>
    <row r="165" ht="15" customHeight="1" spans="1:6">
      <c r="A165" s="56" t="s">
        <v>1991</v>
      </c>
      <c r="B165" s="56" t="s">
        <v>2180</v>
      </c>
      <c r="C165" s="57" t="s">
        <v>2146</v>
      </c>
      <c r="D165" s="56" t="s">
        <v>7</v>
      </c>
      <c r="E165" s="59" t="s">
        <v>1993</v>
      </c>
      <c r="F165" s="58"/>
    </row>
    <row r="166" ht="15" customHeight="1" spans="1:6">
      <c r="A166" s="56" t="s">
        <v>1991</v>
      </c>
      <c r="B166" s="56" t="s">
        <v>2181</v>
      </c>
      <c r="C166" s="57" t="s">
        <v>2146</v>
      </c>
      <c r="D166" s="56" t="s">
        <v>7</v>
      </c>
      <c r="E166" s="59" t="s">
        <v>1993</v>
      </c>
      <c r="F166" s="58"/>
    </row>
    <row r="167" ht="15" customHeight="1" spans="1:6">
      <c r="A167" s="56" t="s">
        <v>1991</v>
      </c>
      <c r="B167" s="56" t="s">
        <v>2182</v>
      </c>
      <c r="C167" s="57" t="s">
        <v>2146</v>
      </c>
      <c r="D167" s="56" t="s">
        <v>7</v>
      </c>
      <c r="E167" s="59" t="s">
        <v>1993</v>
      </c>
      <c r="F167" s="58"/>
    </row>
    <row r="168" ht="15" customHeight="1" spans="1:6">
      <c r="A168" s="56" t="s">
        <v>1991</v>
      </c>
      <c r="B168" s="56" t="s">
        <v>2183</v>
      </c>
      <c r="C168" s="57" t="s">
        <v>2146</v>
      </c>
      <c r="D168" s="56" t="s">
        <v>7</v>
      </c>
      <c r="E168" s="59" t="s">
        <v>1993</v>
      </c>
      <c r="F168" s="58"/>
    </row>
    <row r="169" ht="15" customHeight="1" spans="1:6">
      <c r="A169" s="56" t="s">
        <v>1991</v>
      </c>
      <c r="B169" s="56" t="s">
        <v>2184</v>
      </c>
      <c r="C169" s="57" t="s">
        <v>2146</v>
      </c>
      <c r="D169" s="56" t="s">
        <v>7</v>
      </c>
      <c r="E169" s="59" t="s">
        <v>1993</v>
      </c>
      <c r="F169" s="58"/>
    </row>
    <row r="170" ht="15" customHeight="1" spans="1:6">
      <c r="A170" s="56" t="s">
        <v>1991</v>
      </c>
      <c r="B170" s="56" t="s">
        <v>2185</v>
      </c>
      <c r="C170" s="57" t="s">
        <v>2146</v>
      </c>
      <c r="D170" s="56" t="s">
        <v>7</v>
      </c>
      <c r="E170" s="59" t="s">
        <v>1993</v>
      </c>
      <c r="F170" s="58"/>
    </row>
    <row r="171" ht="15" customHeight="1" spans="1:6">
      <c r="A171" s="56" t="s">
        <v>1991</v>
      </c>
      <c r="B171" s="56" t="s">
        <v>2186</v>
      </c>
      <c r="C171" s="57" t="s">
        <v>2187</v>
      </c>
      <c r="D171" s="56" t="s">
        <v>7</v>
      </c>
      <c r="E171" s="59" t="s">
        <v>1993</v>
      </c>
      <c r="F171" s="58"/>
    </row>
    <row r="172" ht="15" customHeight="1" spans="1:6">
      <c r="A172" s="56" t="s">
        <v>1991</v>
      </c>
      <c r="B172" s="56" t="s">
        <v>2188</v>
      </c>
      <c r="C172" s="57" t="s">
        <v>2189</v>
      </c>
      <c r="D172" s="56" t="s">
        <v>7</v>
      </c>
      <c r="E172" s="59" t="s">
        <v>1993</v>
      </c>
      <c r="F172" s="58"/>
    </row>
    <row r="173" ht="15" customHeight="1" spans="1:6">
      <c r="A173" s="56" t="s">
        <v>1991</v>
      </c>
      <c r="B173" s="56" t="s">
        <v>2190</v>
      </c>
      <c r="C173" s="57" t="s">
        <v>1611</v>
      </c>
      <c r="D173" s="56" t="s">
        <v>7</v>
      </c>
      <c r="E173" s="59" t="s">
        <v>1993</v>
      </c>
      <c r="F173" s="58"/>
    </row>
    <row r="174" ht="15" customHeight="1" spans="1:6">
      <c r="A174" s="56" t="s">
        <v>1991</v>
      </c>
      <c r="B174" s="56" t="s">
        <v>2191</v>
      </c>
      <c r="C174" s="57" t="s">
        <v>2192</v>
      </c>
      <c r="D174" s="56" t="s">
        <v>7</v>
      </c>
      <c r="E174" s="59" t="s">
        <v>1993</v>
      </c>
      <c r="F174" s="58"/>
    </row>
    <row r="175" ht="15" customHeight="1" spans="1:6">
      <c r="A175" s="56" t="s">
        <v>1991</v>
      </c>
      <c r="B175" s="56" t="s">
        <v>2193</v>
      </c>
      <c r="C175" s="57" t="s">
        <v>2192</v>
      </c>
      <c r="D175" s="56" t="s">
        <v>7</v>
      </c>
      <c r="E175" s="59" t="s">
        <v>1993</v>
      </c>
      <c r="F175" s="58"/>
    </row>
    <row r="176" ht="15" customHeight="1" spans="1:6">
      <c r="A176" s="56" t="s">
        <v>1991</v>
      </c>
      <c r="B176" s="56" t="s">
        <v>2194</v>
      </c>
      <c r="C176" s="57" t="s">
        <v>330</v>
      </c>
      <c r="D176" s="56" t="s">
        <v>7</v>
      </c>
      <c r="E176" s="59" t="s">
        <v>1993</v>
      </c>
      <c r="F176" s="58"/>
    </row>
    <row r="177" ht="15" customHeight="1" spans="1:6">
      <c r="A177" s="56" t="s">
        <v>1991</v>
      </c>
      <c r="B177" s="56" t="s">
        <v>2195</v>
      </c>
      <c r="C177" s="57" t="s">
        <v>330</v>
      </c>
      <c r="D177" s="56" t="s">
        <v>7</v>
      </c>
      <c r="E177" s="59" t="s">
        <v>1993</v>
      </c>
      <c r="F177" s="58"/>
    </row>
    <row r="178" ht="15" customHeight="1" spans="1:6">
      <c r="A178" s="56" t="s">
        <v>1991</v>
      </c>
      <c r="B178" s="56" t="s">
        <v>2196</v>
      </c>
      <c r="C178" s="57" t="s">
        <v>2012</v>
      </c>
      <c r="D178" s="56" t="s">
        <v>7</v>
      </c>
      <c r="E178" s="59" t="s">
        <v>1993</v>
      </c>
      <c r="F178" s="58"/>
    </row>
    <row r="179" ht="15" customHeight="1" spans="1:6">
      <c r="A179" s="56" t="s">
        <v>1991</v>
      </c>
      <c r="B179" s="56" t="s">
        <v>2197</v>
      </c>
      <c r="C179" s="57" t="s">
        <v>75</v>
      </c>
      <c r="D179" s="56" t="s">
        <v>7</v>
      </c>
      <c r="E179" s="59" t="s">
        <v>1993</v>
      </c>
      <c r="F179" s="58"/>
    </row>
    <row r="180" ht="15" customHeight="1" spans="1:6">
      <c r="A180" s="56" t="s">
        <v>1991</v>
      </c>
      <c r="B180" s="56" t="s">
        <v>2198</v>
      </c>
      <c r="C180" s="57" t="s">
        <v>2199</v>
      </c>
      <c r="D180" s="56" t="s">
        <v>7</v>
      </c>
      <c r="E180" s="59" t="s">
        <v>1993</v>
      </c>
      <c r="F180" s="58"/>
    </row>
    <row r="181" ht="15" customHeight="1" spans="1:6">
      <c r="A181" s="56" t="s">
        <v>1991</v>
      </c>
      <c r="B181" s="56" t="s">
        <v>2200</v>
      </c>
      <c r="C181" s="57" t="s">
        <v>2199</v>
      </c>
      <c r="D181" s="56" t="s">
        <v>7</v>
      </c>
      <c r="E181" s="59" t="s">
        <v>1993</v>
      </c>
      <c r="F181" s="58"/>
    </row>
    <row r="182" ht="15" customHeight="1" spans="1:6">
      <c r="A182" s="56" t="s">
        <v>1991</v>
      </c>
      <c r="B182" s="56" t="s">
        <v>2201</v>
      </c>
      <c r="C182" s="57" t="s">
        <v>95</v>
      </c>
      <c r="D182" s="56" t="s">
        <v>7</v>
      </c>
      <c r="E182" s="59" t="s">
        <v>1993</v>
      </c>
      <c r="F182" s="58"/>
    </row>
    <row r="183" ht="15" customHeight="1" spans="1:6">
      <c r="A183" s="56" t="s">
        <v>1991</v>
      </c>
      <c r="B183" s="56" t="s">
        <v>2202</v>
      </c>
      <c r="C183" s="57" t="s">
        <v>2203</v>
      </c>
      <c r="D183" s="56" t="s">
        <v>7</v>
      </c>
      <c r="E183" s="59" t="s">
        <v>1993</v>
      </c>
      <c r="F183" s="58"/>
    </row>
    <row r="184" ht="15" customHeight="1" spans="1:6">
      <c r="A184" s="56" t="s">
        <v>1991</v>
      </c>
      <c r="B184" s="56" t="s">
        <v>2204</v>
      </c>
      <c r="C184" s="57" t="s">
        <v>2205</v>
      </c>
      <c r="D184" s="56" t="s">
        <v>7</v>
      </c>
      <c r="E184" s="59" t="s">
        <v>1993</v>
      </c>
      <c r="F184" s="58"/>
    </row>
    <row r="185" ht="15" customHeight="1" spans="1:6">
      <c r="A185" s="56" t="s">
        <v>1991</v>
      </c>
      <c r="B185" s="56" t="s">
        <v>2206</v>
      </c>
      <c r="C185" s="57" t="s">
        <v>2207</v>
      </c>
      <c r="D185" s="56" t="s">
        <v>7</v>
      </c>
      <c r="E185" s="59" t="s">
        <v>1993</v>
      </c>
      <c r="F185" s="58"/>
    </row>
    <row r="186" ht="15" customHeight="1" spans="1:6">
      <c r="A186" s="56" t="s">
        <v>1991</v>
      </c>
      <c r="B186" s="56" t="s">
        <v>2208</v>
      </c>
      <c r="C186" s="57" t="s">
        <v>2207</v>
      </c>
      <c r="D186" s="56" t="s">
        <v>7</v>
      </c>
      <c r="E186" s="59" t="s">
        <v>1993</v>
      </c>
      <c r="F186" s="58"/>
    </row>
    <row r="187" ht="15" customHeight="1" spans="1:6">
      <c r="A187" s="56" t="s">
        <v>1991</v>
      </c>
      <c r="B187" s="56" t="s">
        <v>2209</v>
      </c>
      <c r="C187" s="57" t="s">
        <v>2210</v>
      </c>
      <c r="D187" s="56" t="s">
        <v>7</v>
      </c>
      <c r="E187" s="59" t="s">
        <v>1993</v>
      </c>
      <c r="F187" s="58"/>
    </row>
    <row r="188" ht="15" customHeight="1" spans="1:6">
      <c r="A188" s="56" t="s">
        <v>1991</v>
      </c>
      <c r="B188" s="56" t="s">
        <v>2211</v>
      </c>
      <c r="C188" s="57" t="s">
        <v>2212</v>
      </c>
      <c r="D188" s="56" t="s">
        <v>7</v>
      </c>
      <c r="E188" s="59" t="s">
        <v>1993</v>
      </c>
      <c r="F188" s="58"/>
    </row>
    <row r="189" ht="15" customHeight="1" spans="1:6">
      <c r="A189" s="56" t="s">
        <v>1991</v>
      </c>
      <c r="B189" s="56" t="s">
        <v>2213</v>
      </c>
      <c r="C189" s="57" t="s">
        <v>2212</v>
      </c>
      <c r="D189" s="56" t="s">
        <v>7</v>
      </c>
      <c r="E189" s="59" t="s">
        <v>1993</v>
      </c>
      <c r="F189" s="58"/>
    </row>
    <row r="190" ht="15" customHeight="1" spans="1:6">
      <c r="A190" s="56" t="s">
        <v>1991</v>
      </c>
      <c r="B190" s="56" t="s">
        <v>2214</v>
      </c>
      <c r="C190" s="57" t="s">
        <v>2212</v>
      </c>
      <c r="D190" s="56" t="s">
        <v>7</v>
      </c>
      <c r="E190" s="59" t="s">
        <v>1993</v>
      </c>
      <c r="F190" s="58"/>
    </row>
    <row r="191" ht="15" customHeight="1" spans="1:6">
      <c r="A191" s="56" t="s">
        <v>1991</v>
      </c>
      <c r="B191" s="56" t="s">
        <v>2215</v>
      </c>
      <c r="C191" s="57" t="s">
        <v>2212</v>
      </c>
      <c r="D191" s="56" t="s">
        <v>7</v>
      </c>
      <c r="E191" s="59" t="s">
        <v>1993</v>
      </c>
      <c r="F191" s="58"/>
    </row>
    <row r="192" ht="15" customHeight="1" spans="1:6">
      <c r="A192" s="56" t="s">
        <v>1991</v>
      </c>
      <c r="B192" s="56" t="s">
        <v>2216</v>
      </c>
      <c r="C192" s="57" t="s">
        <v>2217</v>
      </c>
      <c r="D192" s="56" t="s">
        <v>7</v>
      </c>
      <c r="E192" s="59" t="s">
        <v>1993</v>
      </c>
      <c r="F192" s="58"/>
    </row>
    <row r="193" ht="15" customHeight="1" spans="1:6">
      <c r="A193" s="56" t="s">
        <v>1991</v>
      </c>
      <c r="B193" s="56" t="s">
        <v>2218</v>
      </c>
      <c r="C193" s="57" t="s">
        <v>2219</v>
      </c>
      <c r="D193" s="56" t="s">
        <v>7</v>
      </c>
      <c r="E193" s="59" t="s">
        <v>1993</v>
      </c>
      <c r="F193" s="58"/>
    </row>
    <row r="194" ht="15" customHeight="1" spans="1:6">
      <c r="A194" s="56" t="s">
        <v>1991</v>
      </c>
      <c r="B194" s="56" t="s">
        <v>2220</v>
      </c>
      <c r="C194" s="57" t="s">
        <v>2219</v>
      </c>
      <c r="D194" s="56" t="s">
        <v>7</v>
      </c>
      <c r="E194" s="59" t="s">
        <v>1993</v>
      </c>
      <c r="F194" s="58"/>
    </row>
    <row r="195" ht="15" customHeight="1" spans="1:6">
      <c r="A195" s="56" t="s">
        <v>1991</v>
      </c>
      <c r="B195" s="56" t="s">
        <v>2221</v>
      </c>
      <c r="C195" s="57" t="s">
        <v>2219</v>
      </c>
      <c r="D195" s="56" t="s">
        <v>7</v>
      </c>
      <c r="E195" s="59" t="s">
        <v>1993</v>
      </c>
      <c r="F195" s="58"/>
    </row>
    <row r="196" ht="15" customHeight="1" spans="1:6">
      <c r="A196" s="56" t="s">
        <v>1991</v>
      </c>
      <c r="B196" s="56" t="s">
        <v>2222</v>
      </c>
      <c r="C196" s="57" t="s">
        <v>2219</v>
      </c>
      <c r="D196" s="56" t="s">
        <v>7</v>
      </c>
      <c r="E196" s="59" t="s">
        <v>1993</v>
      </c>
      <c r="F196" s="58"/>
    </row>
    <row r="197" ht="15" customHeight="1" spans="1:6">
      <c r="A197" s="56" t="s">
        <v>1991</v>
      </c>
      <c r="B197" s="56" t="s">
        <v>2223</v>
      </c>
      <c r="C197" s="57" t="s">
        <v>2224</v>
      </c>
      <c r="D197" s="56" t="s">
        <v>7</v>
      </c>
      <c r="E197" s="59" t="s">
        <v>1993</v>
      </c>
      <c r="F197" s="58"/>
    </row>
    <row r="198" ht="15" customHeight="1" spans="1:6">
      <c r="A198" s="56" t="s">
        <v>1991</v>
      </c>
      <c r="B198" s="56" t="s">
        <v>2225</v>
      </c>
      <c r="C198" s="57" t="s">
        <v>96</v>
      </c>
      <c r="D198" s="56" t="s">
        <v>7</v>
      </c>
      <c r="E198" s="59" t="s">
        <v>1993</v>
      </c>
      <c r="F198" s="58"/>
    </row>
    <row r="199" ht="15" customHeight="1" spans="1:6">
      <c r="A199" s="56" t="s">
        <v>1991</v>
      </c>
      <c r="B199" s="56" t="s">
        <v>2226</v>
      </c>
      <c r="C199" s="57" t="s">
        <v>96</v>
      </c>
      <c r="D199" s="56" t="s">
        <v>7</v>
      </c>
      <c r="E199" s="59" t="s">
        <v>1993</v>
      </c>
      <c r="F199" s="58"/>
    </row>
    <row r="200" ht="15" customHeight="1" spans="1:6">
      <c r="A200" s="56" t="s">
        <v>1991</v>
      </c>
      <c r="B200" s="56" t="s">
        <v>2227</v>
      </c>
      <c r="C200" s="57" t="s">
        <v>96</v>
      </c>
      <c r="D200" s="56" t="s">
        <v>7</v>
      </c>
      <c r="E200" s="59" t="s">
        <v>1993</v>
      </c>
      <c r="F200" s="58"/>
    </row>
    <row r="201" ht="15" customHeight="1" spans="1:6">
      <c r="A201" s="56" t="s">
        <v>1991</v>
      </c>
      <c r="B201" s="56" t="s">
        <v>2228</v>
      </c>
      <c r="C201" s="57" t="s">
        <v>96</v>
      </c>
      <c r="D201" s="56" t="s">
        <v>7</v>
      </c>
      <c r="E201" s="59" t="s">
        <v>1993</v>
      </c>
      <c r="F201" s="58"/>
    </row>
    <row r="202" ht="15" customHeight="1" spans="1:6">
      <c r="A202" s="56" t="s">
        <v>1991</v>
      </c>
      <c r="B202" s="56" t="s">
        <v>2229</v>
      </c>
      <c r="C202" s="57" t="s">
        <v>2230</v>
      </c>
      <c r="D202" s="56" t="s">
        <v>7</v>
      </c>
      <c r="E202" s="59" t="s">
        <v>1993</v>
      </c>
      <c r="F202" s="58"/>
    </row>
    <row r="203" ht="15" customHeight="1" spans="1:6">
      <c r="A203" s="56" t="s">
        <v>1991</v>
      </c>
      <c r="B203" s="56" t="s">
        <v>2231</v>
      </c>
      <c r="C203" s="57" t="s">
        <v>121</v>
      </c>
      <c r="D203" s="56" t="s">
        <v>7</v>
      </c>
      <c r="E203" s="59" t="s">
        <v>1993</v>
      </c>
      <c r="F203" s="58"/>
    </row>
    <row r="204" ht="15" customHeight="1" spans="1:6">
      <c r="A204" s="56" t="s">
        <v>1991</v>
      </c>
      <c r="B204" s="56" t="s">
        <v>2232</v>
      </c>
      <c r="C204" s="57" t="s">
        <v>2233</v>
      </c>
      <c r="D204" s="56" t="s">
        <v>7</v>
      </c>
      <c r="E204" s="59" t="s">
        <v>1993</v>
      </c>
      <c r="F204" s="58"/>
    </row>
    <row r="205" ht="15" customHeight="1" spans="1:6">
      <c r="A205" s="56" t="s">
        <v>1991</v>
      </c>
      <c r="B205" s="56" t="s">
        <v>2234</v>
      </c>
      <c r="C205" s="57" t="s">
        <v>2235</v>
      </c>
      <c r="D205" s="56" t="s">
        <v>7</v>
      </c>
      <c r="E205" s="59" t="s">
        <v>1993</v>
      </c>
      <c r="F205" s="58"/>
    </row>
    <row r="206" ht="15" customHeight="1" spans="1:6">
      <c r="A206" s="56" t="s">
        <v>1991</v>
      </c>
      <c r="B206" s="56" t="s">
        <v>2236</v>
      </c>
      <c r="C206" s="57" t="s">
        <v>2237</v>
      </c>
      <c r="D206" s="56" t="s">
        <v>7</v>
      </c>
      <c r="E206" s="59" t="s">
        <v>1993</v>
      </c>
      <c r="F206" s="58"/>
    </row>
    <row r="207" ht="15" customHeight="1" spans="1:6">
      <c r="A207" s="56" t="s">
        <v>1991</v>
      </c>
      <c r="B207" s="56" t="s">
        <v>2238</v>
      </c>
      <c r="C207" s="57" t="s">
        <v>2239</v>
      </c>
      <c r="D207" s="56" t="s">
        <v>7</v>
      </c>
      <c r="E207" s="59" t="s">
        <v>1993</v>
      </c>
      <c r="F207" s="58"/>
    </row>
    <row r="208" ht="15" customHeight="1" spans="1:6">
      <c r="A208" s="56" t="s">
        <v>1991</v>
      </c>
      <c r="B208" s="56" t="s">
        <v>2240</v>
      </c>
      <c r="C208" s="57" t="s">
        <v>2241</v>
      </c>
      <c r="D208" s="56" t="s">
        <v>7</v>
      </c>
      <c r="E208" s="59" t="s">
        <v>1993</v>
      </c>
      <c r="F208" s="58"/>
    </row>
    <row r="209" ht="15" customHeight="1" spans="1:6">
      <c r="A209" s="56" t="s">
        <v>1991</v>
      </c>
      <c r="B209" s="56" t="s">
        <v>2242</v>
      </c>
      <c r="C209" s="57" t="s">
        <v>2241</v>
      </c>
      <c r="D209" s="56" t="s">
        <v>7</v>
      </c>
      <c r="E209" s="59" t="s">
        <v>1993</v>
      </c>
      <c r="F209" s="58"/>
    </row>
    <row r="210" ht="15" customHeight="1" spans="1:6">
      <c r="A210" s="56" t="s">
        <v>1991</v>
      </c>
      <c r="B210" s="56" t="s">
        <v>2243</v>
      </c>
      <c r="C210" s="57" t="s">
        <v>2244</v>
      </c>
      <c r="D210" s="56" t="s">
        <v>7</v>
      </c>
      <c r="E210" s="59" t="s">
        <v>1993</v>
      </c>
      <c r="F210" s="58"/>
    </row>
    <row r="211" ht="15" customHeight="1" spans="1:6">
      <c r="A211" s="56" t="s">
        <v>1991</v>
      </c>
      <c r="B211" s="56" t="s">
        <v>2245</v>
      </c>
      <c r="C211" s="57" t="s">
        <v>2246</v>
      </c>
      <c r="D211" s="56" t="s">
        <v>7</v>
      </c>
      <c r="E211" s="59" t="s">
        <v>1993</v>
      </c>
      <c r="F211" s="58"/>
    </row>
    <row r="212" ht="15" customHeight="1" spans="1:6">
      <c r="A212" s="56" t="s">
        <v>1991</v>
      </c>
      <c r="B212" s="56" t="s">
        <v>2247</v>
      </c>
      <c r="C212" s="57" t="s">
        <v>2246</v>
      </c>
      <c r="D212" s="56" t="s">
        <v>7</v>
      </c>
      <c r="E212" s="59" t="s">
        <v>1993</v>
      </c>
      <c r="F212" s="58"/>
    </row>
    <row r="213" ht="15" customHeight="1" spans="1:6">
      <c r="A213" s="56" t="s">
        <v>1991</v>
      </c>
      <c r="B213" s="56" t="s">
        <v>2248</v>
      </c>
      <c r="C213" s="57" t="s">
        <v>177</v>
      </c>
      <c r="D213" s="56" t="s">
        <v>7</v>
      </c>
      <c r="E213" s="59" t="s">
        <v>1993</v>
      </c>
      <c r="F213" s="58"/>
    </row>
    <row r="214" ht="15" customHeight="1" spans="1:6">
      <c r="A214" s="56" t="s">
        <v>1991</v>
      </c>
      <c r="B214" s="56" t="s">
        <v>2249</v>
      </c>
      <c r="C214" s="57" t="s">
        <v>177</v>
      </c>
      <c r="D214" s="56" t="s">
        <v>7</v>
      </c>
      <c r="E214" s="59" t="s">
        <v>1993</v>
      </c>
      <c r="F214" s="58"/>
    </row>
    <row r="215" ht="15" customHeight="1" spans="1:6">
      <c r="A215" s="56" t="s">
        <v>1991</v>
      </c>
      <c r="B215" s="56" t="s">
        <v>2250</v>
      </c>
      <c r="C215" s="57" t="s">
        <v>2251</v>
      </c>
      <c r="D215" s="56" t="s">
        <v>7</v>
      </c>
      <c r="E215" s="59" t="s">
        <v>1993</v>
      </c>
      <c r="F215" s="58"/>
    </row>
    <row r="216" ht="15" customHeight="1" spans="1:6">
      <c r="A216" s="56" t="s">
        <v>1991</v>
      </c>
      <c r="B216" s="56" t="s">
        <v>2252</v>
      </c>
      <c r="C216" s="57" t="s">
        <v>2251</v>
      </c>
      <c r="D216" s="56" t="s">
        <v>7</v>
      </c>
      <c r="E216" s="59" t="s">
        <v>1993</v>
      </c>
      <c r="F216" s="58"/>
    </row>
    <row r="217" ht="15" customHeight="1" spans="1:6">
      <c r="A217" s="56" t="s">
        <v>1991</v>
      </c>
      <c r="B217" s="56" t="s">
        <v>2253</v>
      </c>
      <c r="C217" s="57" t="s">
        <v>2251</v>
      </c>
      <c r="D217" s="56" t="s">
        <v>7</v>
      </c>
      <c r="E217" s="59" t="s">
        <v>1993</v>
      </c>
      <c r="F217" s="58"/>
    </row>
    <row r="218" ht="15" customHeight="1" spans="1:6">
      <c r="A218" s="56" t="s">
        <v>1991</v>
      </c>
      <c r="B218" s="56" t="s">
        <v>2254</v>
      </c>
      <c r="C218" s="57" t="s">
        <v>2251</v>
      </c>
      <c r="D218" s="56" t="s">
        <v>7</v>
      </c>
      <c r="E218" s="59" t="s">
        <v>1993</v>
      </c>
      <c r="F218" s="58"/>
    </row>
    <row r="219" ht="15" customHeight="1" spans="1:6">
      <c r="A219" s="56" t="s">
        <v>1991</v>
      </c>
      <c r="B219" s="56" t="s">
        <v>2255</v>
      </c>
      <c r="C219" s="57" t="s">
        <v>903</v>
      </c>
      <c r="D219" s="56" t="s">
        <v>7</v>
      </c>
      <c r="E219" s="59" t="s">
        <v>1993</v>
      </c>
      <c r="F219" s="58"/>
    </row>
    <row r="220" ht="15" customHeight="1" spans="1:6">
      <c r="A220" s="56" t="s">
        <v>1991</v>
      </c>
      <c r="B220" s="56" t="s">
        <v>2256</v>
      </c>
      <c r="C220" s="57" t="s">
        <v>903</v>
      </c>
      <c r="D220" s="56" t="s">
        <v>7</v>
      </c>
      <c r="E220" s="59" t="s">
        <v>1993</v>
      </c>
      <c r="F220" s="58"/>
    </row>
    <row r="221" ht="15" customHeight="1" spans="1:6">
      <c r="A221" s="56" t="s">
        <v>1991</v>
      </c>
      <c r="B221" s="56" t="s">
        <v>2257</v>
      </c>
      <c r="C221" s="57" t="s">
        <v>903</v>
      </c>
      <c r="D221" s="56" t="s">
        <v>7</v>
      </c>
      <c r="E221" s="59" t="s">
        <v>1993</v>
      </c>
      <c r="F221" s="58"/>
    </row>
    <row r="222" ht="15" customHeight="1" spans="1:6">
      <c r="A222" s="56" t="s">
        <v>1991</v>
      </c>
      <c r="B222" s="56" t="s">
        <v>2258</v>
      </c>
      <c r="C222" s="57" t="s">
        <v>95</v>
      </c>
      <c r="D222" s="56" t="s">
        <v>7</v>
      </c>
      <c r="E222" s="59" t="s">
        <v>1993</v>
      </c>
      <c r="F222" s="58"/>
    </row>
    <row r="223" ht="15" customHeight="1" spans="1:6">
      <c r="A223" s="56" t="s">
        <v>1991</v>
      </c>
      <c r="B223" s="56" t="s">
        <v>2259</v>
      </c>
      <c r="C223" s="57" t="s">
        <v>362</v>
      </c>
      <c r="D223" s="56" t="s">
        <v>7</v>
      </c>
      <c r="E223" s="59" t="s">
        <v>1993</v>
      </c>
      <c r="F223" s="58"/>
    </row>
    <row r="224" ht="15" customHeight="1" spans="1:6">
      <c r="A224" s="56" t="s">
        <v>1991</v>
      </c>
      <c r="B224" s="56" t="s">
        <v>2260</v>
      </c>
      <c r="C224" s="57" t="s">
        <v>2261</v>
      </c>
      <c r="D224" s="56" t="s">
        <v>7</v>
      </c>
      <c r="E224" s="59" t="s">
        <v>1993</v>
      </c>
      <c r="F224" s="58"/>
    </row>
    <row r="225" ht="15" customHeight="1" spans="1:6">
      <c r="A225" s="56" t="s">
        <v>1991</v>
      </c>
      <c r="B225" s="56" t="s">
        <v>2262</v>
      </c>
      <c r="C225" s="57" t="s">
        <v>2263</v>
      </c>
      <c r="D225" s="56" t="s">
        <v>7</v>
      </c>
      <c r="E225" s="59" t="s">
        <v>1993</v>
      </c>
      <c r="F225" s="58"/>
    </row>
    <row r="226" ht="15" customHeight="1" spans="1:6">
      <c r="A226" s="56" t="s">
        <v>1991</v>
      </c>
      <c r="B226" s="56" t="s">
        <v>2264</v>
      </c>
      <c r="C226" s="57" t="s">
        <v>2263</v>
      </c>
      <c r="D226" s="56" t="s">
        <v>7</v>
      </c>
      <c r="E226" s="59" t="s">
        <v>1993</v>
      </c>
      <c r="F226" s="58"/>
    </row>
    <row r="227" ht="15" customHeight="1" spans="1:6">
      <c r="A227" s="56" t="s">
        <v>1991</v>
      </c>
      <c r="B227" s="56" t="s">
        <v>2265</v>
      </c>
      <c r="C227" s="57" t="s">
        <v>2266</v>
      </c>
      <c r="D227" s="56" t="s">
        <v>7</v>
      </c>
      <c r="E227" s="59" t="s">
        <v>1993</v>
      </c>
      <c r="F227" s="58"/>
    </row>
    <row r="228" ht="15" customHeight="1" spans="1:6">
      <c r="A228" s="56" t="s">
        <v>1991</v>
      </c>
      <c r="B228" s="56" t="s">
        <v>2267</v>
      </c>
      <c r="C228" s="57" t="s">
        <v>2266</v>
      </c>
      <c r="D228" s="56" t="s">
        <v>7</v>
      </c>
      <c r="E228" s="59" t="s">
        <v>1993</v>
      </c>
      <c r="F228" s="58"/>
    </row>
    <row r="229" ht="15" customHeight="1" spans="1:6">
      <c r="A229" s="56" t="s">
        <v>1991</v>
      </c>
      <c r="B229" s="56" t="s">
        <v>2268</v>
      </c>
      <c r="C229" s="57" t="s">
        <v>2269</v>
      </c>
      <c r="D229" s="56" t="s">
        <v>7</v>
      </c>
      <c r="E229" s="59" t="s">
        <v>1993</v>
      </c>
      <c r="F229" s="58"/>
    </row>
    <row r="230" ht="15" customHeight="1" spans="1:6">
      <c r="A230" s="56" t="s">
        <v>1991</v>
      </c>
      <c r="B230" s="56" t="s">
        <v>2270</v>
      </c>
      <c r="C230" s="57" t="s">
        <v>2269</v>
      </c>
      <c r="D230" s="56" t="s">
        <v>7</v>
      </c>
      <c r="E230" s="59" t="s">
        <v>1993</v>
      </c>
      <c r="F230" s="58"/>
    </row>
    <row r="231" ht="15" customHeight="1" spans="1:6">
      <c r="A231" s="56" t="s">
        <v>1991</v>
      </c>
      <c r="B231" s="56" t="s">
        <v>2271</v>
      </c>
      <c r="C231" s="57" t="s">
        <v>2269</v>
      </c>
      <c r="D231" s="56" t="s">
        <v>7</v>
      </c>
      <c r="E231" s="59" t="s">
        <v>1993</v>
      </c>
      <c r="F231" s="58"/>
    </row>
    <row r="232" ht="15" customHeight="1" spans="1:6">
      <c r="A232" s="56" t="s">
        <v>1991</v>
      </c>
      <c r="B232" s="56" t="s">
        <v>2272</v>
      </c>
      <c r="C232" s="57" t="s">
        <v>2269</v>
      </c>
      <c r="D232" s="56" t="s">
        <v>7</v>
      </c>
      <c r="E232" s="59" t="s">
        <v>1993</v>
      </c>
      <c r="F232" s="58"/>
    </row>
    <row r="233" ht="15" customHeight="1" spans="1:6">
      <c r="A233" s="56" t="s">
        <v>1991</v>
      </c>
      <c r="B233" s="56" t="s">
        <v>2273</v>
      </c>
      <c r="C233" s="57" t="s">
        <v>2269</v>
      </c>
      <c r="D233" s="56" t="s">
        <v>7</v>
      </c>
      <c r="E233" s="59" t="s">
        <v>1993</v>
      </c>
      <c r="F233" s="58"/>
    </row>
    <row r="234" ht="15" customHeight="1" spans="1:6">
      <c r="A234" s="56" t="s">
        <v>1991</v>
      </c>
      <c r="B234" s="56" t="s">
        <v>2274</v>
      </c>
      <c r="C234" s="57" t="s">
        <v>2269</v>
      </c>
      <c r="D234" s="56" t="s">
        <v>7</v>
      </c>
      <c r="E234" s="59" t="s">
        <v>1993</v>
      </c>
      <c r="F234" s="58"/>
    </row>
    <row r="235" ht="15" customHeight="1" spans="1:6">
      <c r="A235" s="56" t="s">
        <v>1991</v>
      </c>
      <c r="B235" s="56" t="s">
        <v>2275</v>
      </c>
      <c r="C235" s="57" t="s">
        <v>2269</v>
      </c>
      <c r="D235" s="56" t="s">
        <v>7</v>
      </c>
      <c r="E235" s="59" t="s">
        <v>1993</v>
      </c>
      <c r="F235" s="58"/>
    </row>
    <row r="236" ht="15" customHeight="1" spans="1:6">
      <c r="A236" s="56" t="s">
        <v>1991</v>
      </c>
      <c r="B236" s="56" t="s">
        <v>2276</v>
      </c>
      <c r="C236" s="57" t="s">
        <v>2269</v>
      </c>
      <c r="D236" s="56" t="s">
        <v>7</v>
      </c>
      <c r="E236" s="59" t="s">
        <v>1993</v>
      </c>
      <c r="F236" s="58"/>
    </row>
    <row r="237" ht="15" customHeight="1" spans="1:6">
      <c r="A237" s="56" t="s">
        <v>1991</v>
      </c>
      <c r="B237" s="56" t="s">
        <v>2277</v>
      </c>
      <c r="C237" s="57" t="s">
        <v>2269</v>
      </c>
      <c r="D237" s="56" t="s">
        <v>7</v>
      </c>
      <c r="E237" s="59" t="s">
        <v>1993</v>
      </c>
      <c r="F237" s="58"/>
    </row>
    <row r="238" ht="15" customHeight="1" spans="1:6">
      <c r="A238" s="56" t="s">
        <v>1991</v>
      </c>
      <c r="B238" s="56" t="s">
        <v>2278</v>
      </c>
      <c r="C238" s="57" t="s">
        <v>2269</v>
      </c>
      <c r="D238" s="56" t="s">
        <v>7</v>
      </c>
      <c r="E238" s="59" t="s">
        <v>1993</v>
      </c>
      <c r="F238" s="58"/>
    </row>
    <row r="239" ht="15" customHeight="1" spans="1:6">
      <c r="A239" s="56" t="s">
        <v>1991</v>
      </c>
      <c r="B239" s="56" t="s">
        <v>2279</v>
      </c>
      <c r="C239" s="57" t="s">
        <v>2280</v>
      </c>
      <c r="D239" s="56" t="s">
        <v>7</v>
      </c>
      <c r="E239" s="59" t="s">
        <v>1993</v>
      </c>
      <c r="F239" s="58"/>
    </row>
    <row r="240" ht="15" customHeight="1" spans="1:6">
      <c r="A240" s="56" t="s">
        <v>1991</v>
      </c>
      <c r="B240" s="56" t="s">
        <v>2281</v>
      </c>
      <c r="C240" s="57" t="s">
        <v>2280</v>
      </c>
      <c r="D240" s="56" t="s">
        <v>7</v>
      </c>
      <c r="E240" s="59" t="s">
        <v>1993</v>
      </c>
      <c r="F240" s="58"/>
    </row>
    <row r="241" ht="15" customHeight="1" spans="1:6">
      <c r="A241" s="56" t="s">
        <v>1991</v>
      </c>
      <c r="B241" s="56" t="s">
        <v>2282</v>
      </c>
      <c r="C241" s="57" t="s">
        <v>2280</v>
      </c>
      <c r="D241" s="56" t="s">
        <v>7</v>
      </c>
      <c r="E241" s="59" t="s">
        <v>1993</v>
      </c>
      <c r="F241" s="58"/>
    </row>
    <row r="242" ht="15" customHeight="1" spans="1:6">
      <c r="A242" s="56" t="s">
        <v>1991</v>
      </c>
      <c r="B242" s="56" t="s">
        <v>2283</v>
      </c>
      <c r="C242" s="57" t="s">
        <v>2280</v>
      </c>
      <c r="D242" s="56" t="s">
        <v>7</v>
      </c>
      <c r="E242" s="59" t="s">
        <v>1993</v>
      </c>
      <c r="F242" s="58"/>
    </row>
    <row r="243" ht="15" customHeight="1" spans="1:6">
      <c r="A243" s="56" t="s">
        <v>1991</v>
      </c>
      <c r="B243" s="56" t="s">
        <v>2284</v>
      </c>
      <c r="C243" s="57" t="s">
        <v>2280</v>
      </c>
      <c r="D243" s="56" t="s">
        <v>7</v>
      </c>
      <c r="E243" s="59" t="s">
        <v>1993</v>
      </c>
      <c r="F243" s="58"/>
    </row>
    <row r="244" ht="15" customHeight="1" spans="1:6">
      <c r="A244" s="56" t="s">
        <v>1991</v>
      </c>
      <c r="B244" s="56" t="s">
        <v>2285</v>
      </c>
      <c r="C244" s="57" t="s">
        <v>2280</v>
      </c>
      <c r="D244" s="56" t="s">
        <v>7</v>
      </c>
      <c r="E244" s="59" t="s">
        <v>1993</v>
      </c>
      <c r="F244" s="58"/>
    </row>
    <row r="245" ht="15" customHeight="1" spans="1:6">
      <c r="A245" s="56" t="s">
        <v>1991</v>
      </c>
      <c r="B245" s="56" t="s">
        <v>2286</v>
      </c>
      <c r="C245" s="57" t="s">
        <v>2280</v>
      </c>
      <c r="D245" s="56" t="s">
        <v>7</v>
      </c>
      <c r="E245" s="59" t="s">
        <v>1993</v>
      </c>
      <c r="F245" s="58"/>
    </row>
    <row r="246" ht="15" customHeight="1" spans="1:6">
      <c r="A246" s="56" t="s">
        <v>1991</v>
      </c>
      <c r="B246" s="56" t="s">
        <v>2287</v>
      </c>
      <c r="C246" s="57" t="s">
        <v>2280</v>
      </c>
      <c r="D246" s="56" t="s">
        <v>7</v>
      </c>
      <c r="E246" s="59" t="s">
        <v>1993</v>
      </c>
      <c r="F246" s="58"/>
    </row>
    <row r="247" ht="15" customHeight="1" spans="1:6">
      <c r="A247" s="56" t="s">
        <v>1991</v>
      </c>
      <c r="B247" s="56" t="s">
        <v>2288</v>
      </c>
      <c r="C247" s="57" t="s">
        <v>2280</v>
      </c>
      <c r="D247" s="56" t="s">
        <v>7</v>
      </c>
      <c r="E247" s="59" t="s">
        <v>1993</v>
      </c>
      <c r="F247" s="58"/>
    </row>
    <row r="248" ht="15" customHeight="1" spans="1:6">
      <c r="A248" s="56" t="s">
        <v>1991</v>
      </c>
      <c r="B248" s="56" t="s">
        <v>2289</v>
      </c>
      <c r="C248" s="57" t="s">
        <v>2280</v>
      </c>
      <c r="D248" s="56" t="s">
        <v>7</v>
      </c>
      <c r="E248" s="59" t="s">
        <v>1993</v>
      </c>
      <c r="F248" s="58"/>
    </row>
    <row r="249" ht="15" customHeight="1" spans="1:6">
      <c r="A249" s="56" t="s">
        <v>1991</v>
      </c>
      <c r="B249" s="56" t="s">
        <v>2290</v>
      </c>
      <c r="C249" s="57" t="s">
        <v>2291</v>
      </c>
      <c r="D249" s="56" t="s">
        <v>7</v>
      </c>
      <c r="E249" s="59" t="s">
        <v>1993</v>
      </c>
      <c r="F249" s="58"/>
    </row>
    <row r="250" ht="15" customHeight="1" spans="1:6">
      <c r="A250" s="56" t="s">
        <v>1991</v>
      </c>
      <c r="B250" s="56" t="s">
        <v>2292</v>
      </c>
      <c r="C250" s="57" t="s">
        <v>2291</v>
      </c>
      <c r="D250" s="56" t="s">
        <v>7</v>
      </c>
      <c r="E250" s="59" t="s">
        <v>1993</v>
      </c>
      <c r="F250" s="58"/>
    </row>
    <row r="251" ht="15" customHeight="1" spans="1:6">
      <c r="A251" s="56" t="s">
        <v>1991</v>
      </c>
      <c r="B251" s="56" t="s">
        <v>2293</v>
      </c>
      <c r="C251" s="57" t="s">
        <v>2294</v>
      </c>
      <c r="D251" s="56" t="s">
        <v>7</v>
      </c>
      <c r="E251" s="59" t="s">
        <v>1993</v>
      </c>
      <c r="F251" s="58"/>
    </row>
    <row r="252" ht="15" customHeight="1" spans="1:6">
      <c r="A252" s="56" t="s">
        <v>1991</v>
      </c>
      <c r="B252" s="56" t="s">
        <v>2295</v>
      </c>
      <c r="C252" s="57" t="s">
        <v>2294</v>
      </c>
      <c r="D252" s="56" t="s">
        <v>7</v>
      </c>
      <c r="E252" s="59" t="s">
        <v>1993</v>
      </c>
      <c r="F252" s="58"/>
    </row>
    <row r="253" ht="15" customHeight="1" spans="1:6">
      <c r="A253" s="56" t="s">
        <v>1991</v>
      </c>
      <c r="B253" s="56" t="s">
        <v>2296</v>
      </c>
      <c r="C253" s="57" t="s">
        <v>2297</v>
      </c>
      <c r="D253" s="56" t="s">
        <v>7</v>
      </c>
      <c r="E253" s="59" t="s">
        <v>1993</v>
      </c>
      <c r="F253" s="58"/>
    </row>
    <row r="254" ht="15" customHeight="1" spans="1:6">
      <c r="A254" s="56" t="s">
        <v>1991</v>
      </c>
      <c r="B254" s="56" t="s">
        <v>2298</v>
      </c>
      <c r="C254" s="57" t="s">
        <v>2297</v>
      </c>
      <c r="D254" s="56" t="s">
        <v>7</v>
      </c>
      <c r="E254" s="59" t="s">
        <v>1993</v>
      </c>
      <c r="F254" s="58"/>
    </row>
    <row r="255" ht="15" customHeight="1" spans="1:6">
      <c r="A255" s="56" t="s">
        <v>1991</v>
      </c>
      <c r="B255" s="56" t="s">
        <v>2299</v>
      </c>
      <c r="C255" s="57" t="s">
        <v>2300</v>
      </c>
      <c r="D255" s="56" t="s">
        <v>7</v>
      </c>
      <c r="E255" s="59" t="s">
        <v>1993</v>
      </c>
      <c r="F255" s="58"/>
    </row>
    <row r="256" ht="15" customHeight="1" spans="1:6">
      <c r="A256" s="56" t="s">
        <v>1991</v>
      </c>
      <c r="B256" s="56" t="s">
        <v>2301</v>
      </c>
      <c r="C256" s="57" t="s">
        <v>2302</v>
      </c>
      <c r="D256" s="56" t="s">
        <v>7</v>
      </c>
      <c r="E256" s="59" t="s">
        <v>1993</v>
      </c>
      <c r="F256" s="58"/>
    </row>
    <row r="257" ht="15" customHeight="1" spans="1:6">
      <c r="A257" s="56" t="s">
        <v>1991</v>
      </c>
      <c r="B257" s="56" t="s">
        <v>2303</v>
      </c>
      <c r="C257" s="57" t="s">
        <v>2304</v>
      </c>
      <c r="D257" s="56" t="s">
        <v>7</v>
      </c>
      <c r="E257" s="59" t="s">
        <v>1993</v>
      </c>
      <c r="F257" s="58"/>
    </row>
    <row r="258" ht="15" customHeight="1" spans="1:6">
      <c r="A258" s="56" t="s">
        <v>1991</v>
      </c>
      <c r="B258" s="56" t="s">
        <v>2305</v>
      </c>
      <c r="C258" s="57" t="s">
        <v>2306</v>
      </c>
      <c r="D258" s="56" t="s">
        <v>7</v>
      </c>
      <c r="E258" s="59" t="s">
        <v>1993</v>
      </c>
      <c r="F258" s="58"/>
    </row>
    <row r="259" ht="15" customHeight="1" spans="1:6">
      <c r="A259" s="56" t="s">
        <v>1991</v>
      </c>
      <c r="B259" s="56" t="s">
        <v>2307</v>
      </c>
      <c r="C259" s="57" t="s">
        <v>2308</v>
      </c>
      <c r="D259" s="56" t="s">
        <v>7</v>
      </c>
      <c r="E259" s="59" t="s">
        <v>1993</v>
      </c>
      <c r="F259" s="58"/>
    </row>
    <row r="260" ht="15" customHeight="1" spans="1:6">
      <c r="A260" s="56" t="s">
        <v>1991</v>
      </c>
      <c r="B260" s="56" t="s">
        <v>2309</v>
      </c>
      <c r="C260" s="57" t="s">
        <v>2310</v>
      </c>
      <c r="D260" s="56" t="s">
        <v>7</v>
      </c>
      <c r="E260" s="59" t="s">
        <v>1993</v>
      </c>
      <c r="F260" s="58"/>
    </row>
    <row r="261" ht="15" customHeight="1" spans="1:6">
      <c r="A261" s="56" t="s">
        <v>1991</v>
      </c>
      <c r="B261" s="56" t="s">
        <v>2311</v>
      </c>
      <c r="C261" s="57" t="s">
        <v>2312</v>
      </c>
      <c r="D261" s="56" t="s">
        <v>7</v>
      </c>
      <c r="E261" s="59" t="s">
        <v>1993</v>
      </c>
      <c r="F261" s="58"/>
    </row>
    <row r="262" ht="15" customHeight="1" spans="1:6">
      <c r="A262" s="56" t="s">
        <v>1991</v>
      </c>
      <c r="B262" s="56" t="s">
        <v>2313</v>
      </c>
      <c r="C262" s="57" t="s">
        <v>2314</v>
      </c>
      <c r="D262" s="56" t="s">
        <v>7</v>
      </c>
      <c r="E262" s="59" t="s">
        <v>1993</v>
      </c>
      <c r="F262" s="58"/>
    </row>
    <row r="263" ht="15" customHeight="1" spans="1:6">
      <c r="A263" s="56" t="s">
        <v>1991</v>
      </c>
      <c r="B263" s="56" t="s">
        <v>2315</v>
      </c>
      <c r="C263" s="57" t="s">
        <v>2316</v>
      </c>
      <c r="D263" s="56" t="s">
        <v>7</v>
      </c>
      <c r="E263" s="59" t="s">
        <v>1993</v>
      </c>
      <c r="F263" s="58"/>
    </row>
    <row r="264" ht="15" customHeight="1" spans="1:6">
      <c r="A264" s="56" t="s">
        <v>1991</v>
      </c>
      <c r="B264" s="56" t="s">
        <v>2317</v>
      </c>
      <c r="C264" s="57" t="s">
        <v>2318</v>
      </c>
      <c r="D264" s="56" t="s">
        <v>7</v>
      </c>
      <c r="E264" s="59" t="s">
        <v>1993</v>
      </c>
      <c r="F264" s="58"/>
    </row>
    <row r="265" ht="15" customHeight="1" spans="1:6">
      <c r="A265" s="56" t="s">
        <v>1991</v>
      </c>
      <c r="B265" s="56" t="s">
        <v>2319</v>
      </c>
      <c r="C265" s="57" t="s">
        <v>2318</v>
      </c>
      <c r="D265" s="56" t="s">
        <v>7</v>
      </c>
      <c r="E265" s="59" t="s">
        <v>1993</v>
      </c>
      <c r="F265" s="58"/>
    </row>
    <row r="266" ht="15" customHeight="1" spans="1:6">
      <c r="A266" s="56" t="s">
        <v>1991</v>
      </c>
      <c r="B266" s="56" t="s">
        <v>2320</v>
      </c>
      <c r="C266" s="57" t="s">
        <v>2321</v>
      </c>
      <c r="D266" s="56" t="s">
        <v>7</v>
      </c>
      <c r="E266" s="59" t="s">
        <v>1993</v>
      </c>
      <c r="F266" s="58"/>
    </row>
    <row r="267" ht="15" customHeight="1" spans="1:6">
      <c r="A267" s="56" t="s">
        <v>1991</v>
      </c>
      <c r="B267" s="56" t="s">
        <v>2322</v>
      </c>
      <c r="C267" s="57" t="s">
        <v>2321</v>
      </c>
      <c r="D267" s="56" t="s">
        <v>7</v>
      </c>
      <c r="E267" s="59" t="s">
        <v>1993</v>
      </c>
      <c r="F267" s="58"/>
    </row>
    <row r="268" ht="15" customHeight="1" spans="1:6">
      <c r="A268" s="56" t="s">
        <v>1991</v>
      </c>
      <c r="B268" s="56" t="s">
        <v>2323</v>
      </c>
      <c r="C268" s="57" t="s">
        <v>2321</v>
      </c>
      <c r="D268" s="56" t="s">
        <v>7</v>
      </c>
      <c r="E268" s="59" t="s">
        <v>1993</v>
      </c>
      <c r="F268" s="58"/>
    </row>
    <row r="269" ht="15" customHeight="1" spans="1:6">
      <c r="A269" s="56" t="s">
        <v>1991</v>
      </c>
      <c r="B269" s="56" t="s">
        <v>2324</v>
      </c>
      <c r="C269" s="57" t="s">
        <v>2321</v>
      </c>
      <c r="D269" s="56" t="s">
        <v>7</v>
      </c>
      <c r="E269" s="59" t="s">
        <v>1993</v>
      </c>
      <c r="F269" s="58"/>
    </row>
    <row r="270" ht="15" customHeight="1" spans="1:6">
      <c r="A270" s="56" t="s">
        <v>1991</v>
      </c>
      <c r="B270" s="56" t="s">
        <v>2325</v>
      </c>
      <c r="C270" s="57" t="s">
        <v>2326</v>
      </c>
      <c r="D270" s="56" t="s">
        <v>7</v>
      </c>
      <c r="E270" s="59" t="s">
        <v>1993</v>
      </c>
      <c r="F270" s="58"/>
    </row>
    <row r="271" ht="15" customHeight="1" spans="1:6">
      <c r="A271" s="56" t="s">
        <v>1991</v>
      </c>
      <c r="B271" s="56" t="s">
        <v>2327</v>
      </c>
      <c r="C271" s="57" t="s">
        <v>2328</v>
      </c>
      <c r="D271" s="56" t="s">
        <v>7</v>
      </c>
      <c r="E271" s="59" t="s">
        <v>1993</v>
      </c>
      <c r="F271" s="58"/>
    </row>
    <row r="272" ht="15" customHeight="1" spans="1:6">
      <c r="A272" s="56" t="s">
        <v>1991</v>
      </c>
      <c r="B272" s="56" t="s">
        <v>2329</v>
      </c>
      <c r="C272" s="57" t="s">
        <v>2330</v>
      </c>
      <c r="D272" s="56" t="s">
        <v>7</v>
      </c>
      <c r="E272" s="59" t="s">
        <v>1993</v>
      </c>
      <c r="F272" s="58"/>
    </row>
    <row r="273" ht="15" customHeight="1" spans="1:6">
      <c r="A273" s="56" t="s">
        <v>1991</v>
      </c>
      <c r="B273" s="56" t="s">
        <v>2331</v>
      </c>
      <c r="C273" s="57" t="s">
        <v>2332</v>
      </c>
      <c r="D273" s="56" t="s">
        <v>7</v>
      </c>
      <c r="E273" s="59" t="s">
        <v>1993</v>
      </c>
      <c r="F273" s="58"/>
    </row>
    <row r="274" ht="15" customHeight="1" spans="1:6">
      <c r="A274" s="56" t="s">
        <v>1991</v>
      </c>
      <c r="B274" s="56" t="s">
        <v>2333</v>
      </c>
      <c r="C274" s="57" t="s">
        <v>2334</v>
      </c>
      <c r="D274" s="56" t="s">
        <v>7</v>
      </c>
      <c r="E274" s="59" t="s">
        <v>1993</v>
      </c>
      <c r="F274" s="58"/>
    </row>
    <row r="275" ht="15" customHeight="1" spans="1:6">
      <c r="A275" s="56" t="s">
        <v>1991</v>
      </c>
      <c r="B275" s="56" t="s">
        <v>2335</v>
      </c>
      <c r="C275" s="57" t="s">
        <v>2336</v>
      </c>
      <c r="D275" s="56" t="s">
        <v>7</v>
      </c>
      <c r="E275" s="59" t="s">
        <v>1993</v>
      </c>
      <c r="F275" s="58"/>
    </row>
    <row r="276" ht="15" customHeight="1" spans="1:6">
      <c r="A276" s="56" t="s">
        <v>1991</v>
      </c>
      <c r="B276" s="56" t="s">
        <v>2337</v>
      </c>
      <c r="C276" s="57" t="s">
        <v>2336</v>
      </c>
      <c r="D276" s="56" t="s">
        <v>7</v>
      </c>
      <c r="E276" s="59" t="s">
        <v>1993</v>
      </c>
      <c r="F276" s="58"/>
    </row>
    <row r="277" ht="15" customHeight="1" spans="1:6">
      <c r="A277" s="56" t="s">
        <v>1991</v>
      </c>
      <c r="B277" s="56" t="s">
        <v>2338</v>
      </c>
      <c r="C277" s="57" t="s">
        <v>2336</v>
      </c>
      <c r="D277" s="56" t="s">
        <v>7</v>
      </c>
      <c r="E277" s="59" t="s">
        <v>1993</v>
      </c>
      <c r="F277" s="58"/>
    </row>
    <row r="278" ht="15" customHeight="1" spans="1:6">
      <c r="A278" s="56" t="s">
        <v>1991</v>
      </c>
      <c r="B278" s="56" t="s">
        <v>2339</v>
      </c>
      <c r="C278" s="57" t="s">
        <v>2340</v>
      </c>
      <c r="D278" s="56" t="s">
        <v>7</v>
      </c>
      <c r="E278" s="59" t="s">
        <v>1993</v>
      </c>
      <c r="F278" s="58"/>
    </row>
    <row r="279" ht="15" customHeight="1" spans="1:6">
      <c r="A279" s="56" t="s">
        <v>1991</v>
      </c>
      <c r="B279" s="56" t="s">
        <v>2341</v>
      </c>
      <c r="C279" s="57" t="s">
        <v>2342</v>
      </c>
      <c r="D279" s="56" t="s">
        <v>7</v>
      </c>
      <c r="E279" s="59" t="s">
        <v>1993</v>
      </c>
      <c r="F279" s="58"/>
    </row>
    <row r="280" ht="15" customHeight="1" spans="1:6">
      <c r="A280" s="56" t="s">
        <v>1991</v>
      </c>
      <c r="B280" s="56" t="s">
        <v>2343</v>
      </c>
      <c r="C280" s="57" t="s">
        <v>2344</v>
      </c>
      <c r="D280" s="56" t="s">
        <v>7</v>
      </c>
      <c r="E280" s="59" t="s">
        <v>1993</v>
      </c>
      <c r="F280" s="58"/>
    </row>
    <row r="281" ht="15" customHeight="1" spans="1:6">
      <c r="A281" s="56" t="s">
        <v>1991</v>
      </c>
      <c r="B281" s="56" t="s">
        <v>2345</v>
      </c>
      <c r="C281" s="57" t="s">
        <v>2346</v>
      </c>
      <c r="D281" s="56" t="s">
        <v>7</v>
      </c>
      <c r="E281" s="59" t="s">
        <v>1993</v>
      </c>
      <c r="F281" s="58"/>
    </row>
    <row r="282" ht="15" customHeight="1" spans="1:6">
      <c r="A282" s="56" t="s">
        <v>1991</v>
      </c>
      <c r="B282" s="56" t="s">
        <v>2347</v>
      </c>
      <c r="C282" s="57" t="s">
        <v>2348</v>
      </c>
      <c r="D282" s="56" t="s">
        <v>7</v>
      </c>
      <c r="E282" s="59" t="s">
        <v>1993</v>
      </c>
      <c r="F282" s="58"/>
    </row>
    <row r="283" ht="15" customHeight="1" spans="1:6">
      <c r="A283" s="56" t="s">
        <v>1991</v>
      </c>
      <c r="B283" s="56" t="s">
        <v>2349</v>
      </c>
      <c r="C283" s="57" t="s">
        <v>2350</v>
      </c>
      <c r="D283" s="56" t="s">
        <v>7</v>
      </c>
      <c r="E283" s="59" t="s">
        <v>1993</v>
      </c>
      <c r="F283" s="58"/>
    </row>
    <row r="284" ht="15" customHeight="1" spans="1:6">
      <c r="A284" s="56" t="s">
        <v>1991</v>
      </c>
      <c r="B284" s="56" t="s">
        <v>2351</v>
      </c>
      <c r="C284" s="57" t="s">
        <v>2352</v>
      </c>
      <c r="D284" s="56" t="s">
        <v>7</v>
      </c>
      <c r="E284" s="59" t="s">
        <v>1993</v>
      </c>
      <c r="F284" s="58"/>
    </row>
    <row r="285" ht="15" customHeight="1" spans="1:6">
      <c r="A285" s="56" t="s">
        <v>1991</v>
      </c>
      <c r="B285" s="56" t="s">
        <v>2353</v>
      </c>
      <c r="C285" s="57" t="s">
        <v>2354</v>
      </c>
      <c r="D285" s="56" t="s">
        <v>7</v>
      </c>
      <c r="E285" s="59" t="s">
        <v>1993</v>
      </c>
      <c r="F285" s="58"/>
    </row>
    <row r="286" ht="15" customHeight="1" spans="1:6">
      <c r="A286" s="56" t="s">
        <v>1991</v>
      </c>
      <c r="B286" s="56" t="s">
        <v>2355</v>
      </c>
      <c r="C286" s="57" t="s">
        <v>2356</v>
      </c>
      <c r="D286" s="56" t="s">
        <v>7</v>
      </c>
      <c r="E286" s="59" t="s">
        <v>1993</v>
      </c>
      <c r="F286" s="58"/>
    </row>
    <row r="287" ht="15" customHeight="1" spans="1:6">
      <c r="A287" s="56" t="s">
        <v>1991</v>
      </c>
      <c r="B287" s="56" t="s">
        <v>2357</v>
      </c>
      <c r="C287" s="57" t="s">
        <v>2358</v>
      </c>
      <c r="D287" s="56" t="s">
        <v>7</v>
      </c>
      <c r="E287" s="59" t="s">
        <v>1993</v>
      </c>
      <c r="F287" s="58"/>
    </row>
    <row r="288" ht="15" customHeight="1" spans="1:6">
      <c r="A288" s="56" t="s">
        <v>1991</v>
      </c>
      <c r="B288" s="56" t="s">
        <v>2359</v>
      </c>
      <c r="C288" s="57" t="s">
        <v>2360</v>
      </c>
      <c r="D288" s="56" t="s">
        <v>7</v>
      </c>
      <c r="E288" s="59" t="s">
        <v>1993</v>
      </c>
      <c r="F288" s="58"/>
    </row>
    <row r="289" ht="15" customHeight="1" spans="1:6">
      <c r="A289" s="56" t="s">
        <v>1991</v>
      </c>
      <c r="B289" s="56" t="s">
        <v>2361</v>
      </c>
      <c r="C289" s="57" t="s">
        <v>2362</v>
      </c>
      <c r="D289" s="56" t="s">
        <v>7</v>
      </c>
      <c r="E289" s="59" t="s">
        <v>1993</v>
      </c>
      <c r="F289" s="58"/>
    </row>
    <row r="290" ht="15" customHeight="1" spans="1:6">
      <c r="A290" s="56" t="s">
        <v>1991</v>
      </c>
      <c r="B290" s="56" t="s">
        <v>2363</v>
      </c>
      <c r="C290" s="57" t="s">
        <v>2362</v>
      </c>
      <c r="D290" s="56" t="s">
        <v>7</v>
      </c>
      <c r="E290" s="59" t="s">
        <v>1993</v>
      </c>
      <c r="F290" s="58"/>
    </row>
    <row r="291" ht="15" customHeight="1" spans="1:6">
      <c r="A291" s="56" t="s">
        <v>1991</v>
      </c>
      <c r="B291" s="56" t="s">
        <v>2364</v>
      </c>
      <c r="C291" s="57" t="s">
        <v>2365</v>
      </c>
      <c r="D291" s="56" t="s">
        <v>7</v>
      </c>
      <c r="E291" s="59" t="s">
        <v>1993</v>
      </c>
      <c r="F291" s="58"/>
    </row>
    <row r="292" ht="15" customHeight="1" spans="1:6">
      <c r="A292" s="56" t="s">
        <v>1991</v>
      </c>
      <c r="B292" s="56" t="s">
        <v>2366</v>
      </c>
      <c r="C292" s="57" t="s">
        <v>350</v>
      </c>
      <c r="D292" s="56" t="s">
        <v>7</v>
      </c>
      <c r="E292" s="59" t="s">
        <v>1993</v>
      </c>
      <c r="F292" s="58"/>
    </row>
    <row r="293" ht="15" customHeight="1" spans="1:6">
      <c r="A293" s="56" t="s">
        <v>1991</v>
      </c>
      <c r="B293" s="56" t="s">
        <v>2367</v>
      </c>
      <c r="C293" s="57" t="s">
        <v>2368</v>
      </c>
      <c r="D293" s="56" t="s">
        <v>7</v>
      </c>
      <c r="E293" s="59" t="s">
        <v>1993</v>
      </c>
      <c r="F293" s="58"/>
    </row>
    <row r="294" ht="15" customHeight="1" spans="1:6">
      <c r="A294" s="56" t="s">
        <v>1991</v>
      </c>
      <c r="B294" s="56" t="s">
        <v>2369</v>
      </c>
      <c r="C294" s="57" t="s">
        <v>2370</v>
      </c>
      <c r="D294" s="56" t="s">
        <v>7</v>
      </c>
      <c r="E294" s="59" t="s">
        <v>1993</v>
      </c>
      <c r="F294" s="58"/>
    </row>
    <row r="295" ht="15" customHeight="1" spans="1:6">
      <c r="A295" s="56" t="s">
        <v>1991</v>
      </c>
      <c r="B295" s="56" t="s">
        <v>2371</v>
      </c>
      <c r="C295" s="57" t="s">
        <v>2372</v>
      </c>
      <c r="D295" s="56" t="s">
        <v>7</v>
      </c>
      <c r="E295" s="59" t="s">
        <v>1993</v>
      </c>
      <c r="F295" s="58"/>
    </row>
    <row r="296" ht="15" customHeight="1" spans="1:6">
      <c r="A296" s="56" t="s">
        <v>1991</v>
      </c>
      <c r="B296" s="56" t="s">
        <v>2373</v>
      </c>
      <c r="C296" s="57" t="s">
        <v>2372</v>
      </c>
      <c r="D296" s="56" t="s">
        <v>7</v>
      </c>
      <c r="E296" s="59" t="s">
        <v>1993</v>
      </c>
      <c r="F296" s="58"/>
    </row>
    <row r="297" ht="15" customHeight="1" spans="1:6">
      <c r="A297" s="56" t="s">
        <v>1991</v>
      </c>
      <c r="B297" s="56" t="s">
        <v>2374</v>
      </c>
      <c r="C297" s="57" t="s">
        <v>2372</v>
      </c>
      <c r="D297" s="56" t="s">
        <v>7</v>
      </c>
      <c r="E297" s="59" t="s">
        <v>1993</v>
      </c>
      <c r="F297" s="58"/>
    </row>
    <row r="298" ht="15" customHeight="1" spans="1:6">
      <c r="A298" s="56" t="s">
        <v>1991</v>
      </c>
      <c r="B298" s="56" t="s">
        <v>2375</v>
      </c>
      <c r="C298" s="57" t="s">
        <v>2376</v>
      </c>
      <c r="D298" s="56" t="s">
        <v>7</v>
      </c>
      <c r="E298" s="59" t="s">
        <v>1993</v>
      </c>
      <c r="F298" s="58"/>
    </row>
    <row r="299" ht="15" customHeight="1" spans="1:6">
      <c r="A299" s="56" t="s">
        <v>1991</v>
      </c>
      <c r="B299" s="56" t="s">
        <v>2377</v>
      </c>
      <c r="C299" s="57" t="s">
        <v>2378</v>
      </c>
      <c r="D299" s="56" t="s">
        <v>7</v>
      </c>
      <c r="E299" s="59" t="s">
        <v>1993</v>
      </c>
      <c r="F299" s="58"/>
    </row>
    <row r="300" ht="15" customHeight="1" spans="1:6">
      <c r="A300" s="56" t="s">
        <v>1991</v>
      </c>
      <c r="B300" s="56" t="s">
        <v>2379</v>
      </c>
      <c r="C300" s="57" t="s">
        <v>2380</v>
      </c>
      <c r="D300" s="56" t="s">
        <v>7</v>
      </c>
      <c r="E300" s="59" t="s">
        <v>1993</v>
      </c>
      <c r="F300" s="58"/>
    </row>
    <row r="301" ht="15" customHeight="1" spans="1:6">
      <c r="A301" s="56" t="s">
        <v>1991</v>
      </c>
      <c r="B301" s="56" t="s">
        <v>2381</v>
      </c>
      <c r="C301" s="57" t="s">
        <v>2380</v>
      </c>
      <c r="D301" s="56" t="s">
        <v>7</v>
      </c>
      <c r="E301" s="59" t="s">
        <v>1993</v>
      </c>
      <c r="F301" s="58"/>
    </row>
    <row r="302" ht="15" customHeight="1" spans="1:6">
      <c r="A302" s="56" t="s">
        <v>1991</v>
      </c>
      <c r="B302" s="56" t="s">
        <v>2382</v>
      </c>
      <c r="C302" s="57" t="s">
        <v>2383</v>
      </c>
      <c r="D302" s="56" t="s">
        <v>7</v>
      </c>
      <c r="E302" s="59" t="s">
        <v>1993</v>
      </c>
      <c r="F302" s="58"/>
    </row>
    <row r="303" ht="15" customHeight="1" spans="1:6">
      <c r="A303" s="56" t="s">
        <v>1991</v>
      </c>
      <c r="B303" s="56" t="s">
        <v>2384</v>
      </c>
      <c r="C303" s="57" t="s">
        <v>2383</v>
      </c>
      <c r="D303" s="56" t="s">
        <v>7</v>
      </c>
      <c r="E303" s="59" t="s">
        <v>1993</v>
      </c>
      <c r="F303" s="58"/>
    </row>
    <row r="304" ht="15" customHeight="1" spans="1:6">
      <c r="A304" s="56" t="s">
        <v>1991</v>
      </c>
      <c r="B304" s="56" t="s">
        <v>2385</v>
      </c>
      <c r="C304" s="57" t="s">
        <v>2383</v>
      </c>
      <c r="D304" s="56" t="s">
        <v>7</v>
      </c>
      <c r="E304" s="59" t="s">
        <v>1993</v>
      </c>
      <c r="F304" s="58"/>
    </row>
    <row r="305" ht="15" customHeight="1" spans="1:6">
      <c r="A305" s="56" t="s">
        <v>1991</v>
      </c>
      <c r="B305" s="56" t="s">
        <v>2386</v>
      </c>
      <c r="C305" s="57" t="s">
        <v>2383</v>
      </c>
      <c r="D305" s="56" t="s">
        <v>7</v>
      </c>
      <c r="E305" s="59" t="s">
        <v>1993</v>
      </c>
      <c r="F305" s="58"/>
    </row>
    <row r="306" ht="15" customHeight="1" spans="1:6">
      <c r="A306" s="56" t="s">
        <v>1991</v>
      </c>
      <c r="B306" s="56" t="s">
        <v>2387</v>
      </c>
      <c r="C306" s="57" t="s">
        <v>2383</v>
      </c>
      <c r="D306" s="56" t="s">
        <v>7</v>
      </c>
      <c r="E306" s="59" t="s">
        <v>1993</v>
      </c>
      <c r="F306" s="58"/>
    </row>
    <row r="307" ht="15" customHeight="1" spans="1:6">
      <c r="A307" s="56" t="s">
        <v>1991</v>
      </c>
      <c r="B307" s="56" t="s">
        <v>2388</v>
      </c>
      <c r="C307" s="57" t="s">
        <v>2383</v>
      </c>
      <c r="D307" s="56" t="s">
        <v>7</v>
      </c>
      <c r="E307" s="59" t="s">
        <v>1993</v>
      </c>
      <c r="F307" s="58"/>
    </row>
    <row r="308" ht="15" customHeight="1" spans="1:6">
      <c r="A308" s="56" t="s">
        <v>1991</v>
      </c>
      <c r="B308" s="56" t="s">
        <v>2389</v>
      </c>
      <c r="C308" s="57" t="s">
        <v>2390</v>
      </c>
      <c r="D308" s="56" t="s">
        <v>7</v>
      </c>
      <c r="E308" s="59" t="s">
        <v>1993</v>
      </c>
      <c r="F308" s="58"/>
    </row>
    <row r="309" ht="15" customHeight="1" spans="1:6">
      <c r="A309" s="56" t="s">
        <v>1991</v>
      </c>
      <c r="B309" s="56" t="s">
        <v>2391</v>
      </c>
      <c r="C309" s="57" t="s">
        <v>2392</v>
      </c>
      <c r="D309" s="56" t="s">
        <v>7</v>
      </c>
      <c r="E309" s="59" t="s">
        <v>1993</v>
      </c>
      <c r="F309" s="58"/>
    </row>
    <row r="310" ht="15" customHeight="1" spans="1:6">
      <c r="A310" s="56" t="s">
        <v>1991</v>
      </c>
      <c r="B310" s="56" t="s">
        <v>2393</v>
      </c>
      <c r="C310" s="57" t="s">
        <v>2394</v>
      </c>
      <c r="D310" s="56" t="s">
        <v>7</v>
      </c>
      <c r="E310" s="59" t="s">
        <v>1993</v>
      </c>
      <c r="F310" s="58"/>
    </row>
    <row r="311" ht="15" customHeight="1" spans="1:6">
      <c r="A311" s="56" t="s">
        <v>1991</v>
      </c>
      <c r="B311" s="56" t="s">
        <v>2395</v>
      </c>
      <c r="C311" s="57" t="s">
        <v>2394</v>
      </c>
      <c r="D311" s="56" t="s">
        <v>7</v>
      </c>
      <c r="E311" s="59" t="s">
        <v>1993</v>
      </c>
      <c r="F311" s="58"/>
    </row>
    <row r="312" ht="15" customHeight="1" spans="1:6">
      <c r="A312" s="56" t="s">
        <v>1991</v>
      </c>
      <c r="B312" s="56" t="s">
        <v>2396</v>
      </c>
      <c r="C312" s="57" t="s">
        <v>2397</v>
      </c>
      <c r="D312" s="56" t="s">
        <v>7</v>
      </c>
      <c r="E312" s="59" t="s">
        <v>1993</v>
      </c>
      <c r="F312" s="58"/>
    </row>
    <row r="313" ht="15" customHeight="1" spans="1:6">
      <c r="A313" s="56" t="s">
        <v>1991</v>
      </c>
      <c r="B313" s="56" t="s">
        <v>2398</v>
      </c>
      <c r="C313" s="57" t="s">
        <v>2397</v>
      </c>
      <c r="D313" s="56" t="s">
        <v>7</v>
      </c>
      <c r="E313" s="59" t="s">
        <v>1993</v>
      </c>
      <c r="F313" s="58"/>
    </row>
    <row r="314" ht="15" customHeight="1" spans="1:6">
      <c r="A314" s="56" t="s">
        <v>1991</v>
      </c>
      <c r="B314" s="56" t="s">
        <v>2399</v>
      </c>
      <c r="C314" s="57" t="s">
        <v>2397</v>
      </c>
      <c r="D314" s="56" t="s">
        <v>7</v>
      </c>
      <c r="E314" s="59" t="s">
        <v>1993</v>
      </c>
      <c r="F314" s="58"/>
    </row>
    <row r="315" ht="15" customHeight="1" spans="1:6">
      <c r="A315" s="56" t="s">
        <v>1991</v>
      </c>
      <c r="B315" s="56" t="s">
        <v>2400</v>
      </c>
      <c r="C315" s="57" t="s">
        <v>2401</v>
      </c>
      <c r="D315" s="56" t="s">
        <v>7</v>
      </c>
      <c r="E315" s="59" t="s">
        <v>1993</v>
      </c>
      <c r="F315" s="58"/>
    </row>
    <row r="316" ht="15" customHeight="1" spans="1:6">
      <c r="A316" s="56" t="s">
        <v>1991</v>
      </c>
      <c r="B316" s="56" t="s">
        <v>2402</v>
      </c>
      <c r="C316" s="57" t="s">
        <v>2403</v>
      </c>
      <c r="D316" s="56" t="s">
        <v>7</v>
      </c>
      <c r="E316" s="59" t="s">
        <v>1993</v>
      </c>
      <c r="F316" s="58"/>
    </row>
    <row r="317" ht="15" customHeight="1" spans="1:6">
      <c r="A317" s="56" t="s">
        <v>1991</v>
      </c>
      <c r="B317" s="56" t="s">
        <v>2404</v>
      </c>
      <c r="C317" s="57" t="s">
        <v>2405</v>
      </c>
      <c r="D317" s="56" t="s">
        <v>7</v>
      </c>
      <c r="E317" s="59" t="s">
        <v>1993</v>
      </c>
      <c r="F317" s="58"/>
    </row>
    <row r="318" ht="15" customHeight="1" spans="1:6">
      <c r="A318" s="56" t="s">
        <v>1991</v>
      </c>
      <c r="B318" s="56" t="s">
        <v>2406</v>
      </c>
      <c r="C318" s="57" t="s">
        <v>2407</v>
      </c>
      <c r="D318" s="56" t="s">
        <v>7</v>
      </c>
      <c r="E318" s="59" t="s">
        <v>1993</v>
      </c>
      <c r="F318" s="58"/>
    </row>
    <row r="319" ht="15" customHeight="1" spans="1:6">
      <c r="A319" s="56" t="s">
        <v>1991</v>
      </c>
      <c r="B319" s="56" t="s">
        <v>2408</v>
      </c>
      <c r="C319" s="57" t="s">
        <v>96</v>
      </c>
      <c r="D319" s="56" t="s">
        <v>7</v>
      </c>
      <c r="E319" s="59" t="s">
        <v>1993</v>
      </c>
      <c r="F319" s="58"/>
    </row>
    <row r="320" ht="15" customHeight="1" spans="1:6">
      <c r="A320" s="56" t="s">
        <v>1991</v>
      </c>
      <c r="B320" s="56" t="s">
        <v>2409</v>
      </c>
      <c r="C320" s="57" t="s">
        <v>96</v>
      </c>
      <c r="D320" s="56" t="s">
        <v>7</v>
      </c>
      <c r="E320" s="59" t="s">
        <v>1993</v>
      </c>
      <c r="F320" s="58"/>
    </row>
    <row r="321" ht="15" customHeight="1" spans="1:6">
      <c r="A321" s="56" t="s">
        <v>1991</v>
      </c>
      <c r="B321" s="56" t="s">
        <v>2410</v>
      </c>
      <c r="C321" s="57" t="s">
        <v>96</v>
      </c>
      <c r="D321" s="56" t="s">
        <v>7</v>
      </c>
      <c r="E321" s="59" t="s">
        <v>1993</v>
      </c>
      <c r="F321" s="58"/>
    </row>
    <row r="322" ht="15" customHeight="1" spans="1:6">
      <c r="A322" s="56" t="s">
        <v>1991</v>
      </c>
      <c r="B322" s="56" t="s">
        <v>2411</v>
      </c>
      <c r="C322" s="57" t="s">
        <v>103</v>
      </c>
      <c r="D322" s="56" t="s">
        <v>7</v>
      </c>
      <c r="E322" s="59" t="s">
        <v>1993</v>
      </c>
      <c r="F322" s="58"/>
    </row>
    <row r="323" ht="15" customHeight="1" spans="1:6">
      <c r="A323" s="56" t="s">
        <v>1991</v>
      </c>
      <c r="B323" s="56" t="s">
        <v>2412</v>
      </c>
      <c r="C323" s="57" t="s">
        <v>103</v>
      </c>
      <c r="D323" s="56" t="s">
        <v>7</v>
      </c>
      <c r="E323" s="59" t="s">
        <v>1993</v>
      </c>
      <c r="F323" s="58"/>
    </row>
    <row r="324" ht="15" customHeight="1" spans="1:6">
      <c r="A324" s="56" t="s">
        <v>1991</v>
      </c>
      <c r="B324" s="56" t="s">
        <v>2413</v>
      </c>
      <c r="C324" s="57" t="s">
        <v>103</v>
      </c>
      <c r="D324" s="56" t="s">
        <v>7</v>
      </c>
      <c r="E324" s="59" t="s">
        <v>1993</v>
      </c>
      <c r="F324" s="58"/>
    </row>
    <row r="325" ht="15" customHeight="1" spans="1:6">
      <c r="A325" s="56" t="s">
        <v>1991</v>
      </c>
      <c r="B325" s="56" t="s">
        <v>2414</v>
      </c>
      <c r="C325" s="57" t="s">
        <v>177</v>
      </c>
      <c r="D325" s="56" t="s">
        <v>7</v>
      </c>
      <c r="E325" s="59" t="s">
        <v>1993</v>
      </c>
      <c r="F325" s="58"/>
    </row>
    <row r="326" ht="15" customHeight="1" spans="1:6">
      <c r="A326" s="56" t="s">
        <v>1991</v>
      </c>
      <c r="B326" s="56" t="s">
        <v>2415</v>
      </c>
      <c r="C326" s="57" t="s">
        <v>177</v>
      </c>
      <c r="D326" s="56" t="s">
        <v>7</v>
      </c>
      <c r="E326" s="59" t="s">
        <v>1993</v>
      </c>
      <c r="F326" s="58"/>
    </row>
    <row r="327" ht="15" customHeight="1" spans="1:6">
      <c r="A327" s="56" t="s">
        <v>1991</v>
      </c>
      <c r="B327" s="56" t="s">
        <v>2416</v>
      </c>
      <c r="C327" s="57" t="s">
        <v>177</v>
      </c>
      <c r="D327" s="56" t="s">
        <v>7</v>
      </c>
      <c r="E327" s="59" t="s">
        <v>1993</v>
      </c>
      <c r="F327" s="58"/>
    </row>
    <row r="328" ht="15" customHeight="1" spans="1:6">
      <c r="A328" s="56" t="s">
        <v>1991</v>
      </c>
      <c r="B328" s="56" t="s">
        <v>2417</v>
      </c>
      <c r="C328" s="57" t="s">
        <v>177</v>
      </c>
      <c r="D328" s="56" t="s">
        <v>7</v>
      </c>
      <c r="E328" s="59" t="s">
        <v>1993</v>
      </c>
      <c r="F328" s="58"/>
    </row>
    <row r="329" ht="15" customHeight="1" spans="1:6">
      <c r="A329" s="56" t="s">
        <v>1991</v>
      </c>
      <c r="B329" s="56" t="s">
        <v>2418</v>
      </c>
      <c r="C329" s="57" t="s">
        <v>177</v>
      </c>
      <c r="D329" s="56" t="s">
        <v>7</v>
      </c>
      <c r="E329" s="59" t="s">
        <v>1993</v>
      </c>
      <c r="F329" s="58"/>
    </row>
    <row r="330" ht="15" customHeight="1" spans="1:6">
      <c r="A330" s="56" t="s">
        <v>1991</v>
      </c>
      <c r="B330" s="56" t="s">
        <v>2419</v>
      </c>
      <c r="C330" s="57" t="s">
        <v>177</v>
      </c>
      <c r="D330" s="56" t="s">
        <v>7</v>
      </c>
      <c r="E330" s="59" t="s">
        <v>1993</v>
      </c>
      <c r="F330" s="58"/>
    </row>
    <row r="331" ht="15" customHeight="1" spans="1:6">
      <c r="A331" s="56" t="s">
        <v>1991</v>
      </c>
      <c r="B331" s="56" t="s">
        <v>2420</v>
      </c>
      <c r="C331" s="57" t="s">
        <v>177</v>
      </c>
      <c r="D331" s="56" t="s">
        <v>7</v>
      </c>
      <c r="E331" s="59" t="s">
        <v>1993</v>
      </c>
      <c r="F331" s="58"/>
    </row>
    <row r="332" ht="15" customHeight="1" spans="1:6">
      <c r="A332" s="56" t="s">
        <v>1991</v>
      </c>
      <c r="B332" s="56" t="s">
        <v>2421</v>
      </c>
      <c r="C332" s="57" t="s">
        <v>177</v>
      </c>
      <c r="D332" s="56" t="s">
        <v>7</v>
      </c>
      <c r="E332" s="59" t="s">
        <v>1993</v>
      </c>
      <c r="F332" s="58"/>
    </row>
    <row r="333" ht="15" customHeight="1" spans="1:6">
      <c r="A333" s="56" t="s">
        <v>1991</v>
      </c>
      <c r="B333" s="56" t="s">
        <v>2422</v>
      </c>
      <c r="C333" s="57" t="s">
        <v>177</v>
      </c>
      <c r="D333" s="56" t="s">
        <v>7</v>
      </c>
      <c r="E333" s="59" t="s">
        <v>1993</v>
      </c>
      <c r="F333" s="58"/>
    </row>
    <row r="334" ht="15" customHeight="1" spans="1:6">
      <c r="A334" s="56" t="s">
        <v>1991</v>
      </c>
      <c r="B334" s="56" t="s">
        <v>2423</v>
      </c>
      <c r="C334" s="57" t="s">
        <v>177</v>
      </c>
      <c r="D334" s="56" t="s">
        <v>7</v>
      </c>
      <c r="E334" s="59" t="s">
        <v>1993</v>
      </c>
      <c r="F334" s="58"/>
    </row>
    <row r="335" ht="15" customHeight="1" spans="1:6">
      <c r="A335" s="56" t="s">
        <v>1991</v>
      </c>
      <c r="B335" s="56" t="s">
        <v>2424</v>
      </c>
      <c r="C335" s="57" t="s">
        <v>364</v>
      </c>
      <c r="D335" s="56" t="s">
        <v>7</v>
      </c>
      <c r="E335" s="59" t="s">
        <v>1993</v>
      </c>
      <c r="F335" s="58"/>
    </row>
    <row r="336" ht="15" customHeight="1" spans="1:6">
      <c r="A336" s="56" t="s">
        <v>1991</v>
      </c>
      <c r="B336" s="56" t="s">
        <v>2425</v>
      </c>
      <c r="C336" s="57" t="s">
        <v>362</v>
      </c>
      <c r="D336" s="56" t="s">
        <v>7</v>
      </c>
      <c r="E336" s="59" t="s">
        <v>1993</v>
      </c>
      <c r="F336" s="58"/>
    </row>
    <row r="337" ht="15" customHeight="1" spans="1:6">
      <c r="A337" s="56" t="s">
        <v>1991</v>
      </c>
      <c r="B337" s="56" t="s">
        <v>2426</v>
      </c>
      <c r="C337" s="57" t="s">
        <v>2427</v>
      </c>
      <c r="D337" s="56" t="s">
        <v>7</v>
      </c>
      <c r="E337" s="59" t="s">
        <v>1993</v>
      </c>
      <c r="F337" s="58"/>
    </row>
    <row r="338" ht="15" customHeight="1" spans="1:6">
      <c r="A338" s="56" t="s">
        <v>1991</v>
      </c>
      <c r="B338" s="56" t="s">
        <v>2428</v>
      </c>
      <c r="C338" s="57" t="s">
        <v>96</v>
      </c>
      <c r="D338" s="56" t="s">
        <v>7</v>
      </c>
      <c r="E338" s="59" t="s">
        <v>1993</v>
      </c>
      <c r="F338" s="58"/>
    </row>
    <row r="339" ht="15" customHeight="1" spans="1:6">
      <c r="A339" s="56" t="s">
        <v>1991</v>
      </c>
      <c r="B339" s="56" t="s">
        <v>2429</v>
      </c>
      <c r="C339" s="57" t="s">
        <v>96</v>
      </c>
      <c r="D339" s="56" t="s">
        <v>7</v>
      </c>
      <c r="E339" s="59" t="s">
        <v>1993</v>
      </c>
      <c r="F339" s="58"/>
    </row>
    <row r="340" ht="15" customHeight="1" spans="1:6">
      <c r="A340" s="56" t="s">
        <v>1991</v>
      </c>
      <c r="B340" s="56" t="s">
        <v>2430</v>
      </c>
      <c r="C340" s="57" t="s">
        <v>96</v>
      </c>
      <c r="D340" s="56" t="s">
        <v>7</v>
      </c>
      <c r="E340" s="59" t="s">
        <v>1993</v>
      </c>
      <c r="F340" s="58"/>
    </row>
    <row r="341" ht="15" customHeight="1" spans="1:6">
      <c r="A341" s="56" t="s">
        <v>1991</v>
      </c>
      <c r="B341" s="56" t="s">
        <v>2431</v>
      </c>
      <c r="C341" s="57" t="s">
        <v>96</v>
      </c>
      <c r="D341" s="56" t="s">
        <v>7</v>
      </c>
      <c r="E341" s="59" t="s">
        <v>1993</v>
      </c>
      <c r="F341" s="58"/>
    </row>
    <row r="342" ht="15" customHeight="1" spans="1:6">
      <c r="A342" s="56" t="s">
        <v>1991</v>
      </c>
      <c r="B342" s="56" t="s">
        <v>2432</v>
      </c>
      <c r="C342" s="57" t="s">
        <v>96</v>
      </c>
      <c r="D342" s="56" t="s">
        <v>7</v>
      </c>
      <c r="E342" s="59" t="s">
        <v>1993</v>
      </c>
      <c r="F342" s="58"/>
    </row>
    <row r="343" ht="15" customHeight="1" spans="1:6">
      <c r="A343" s="56" t="s">
        <v>1991</v>
      </c>
      <c r="B343" s="56" t="s">
        <v>2433</v>
      </c>
      <c r="C343" s="57" t="s">
        <v>96</v>
      </c>
      <c r="D343" s="56" t="s">
        <v>7</v>
      </c>
      <c r="E343" s="59" t="s">
        <v>1993</v>
      </c>
      <c r="F343" s="58"/>
    </row>
    <row r="344" ht="15" customHeight="1" spans="1:6">
      <c r="A344" s="56" t="s">
        <v>1991</v>
      </c>
      <c r="B344" s="56" t="s">
        <v>2434</v>
      </c>
      <c r="C344" s="57" t="s">
        <v>96</v>
      </c>
      <c r="D344" s="56" t="s">
        <v>7</v>
      </c>
      <c r="E344" s="59" t="s">
        <v>1993</v>
      </c>
      <c r="F344" s="58"/>
    </row>
    <row r="345" ht="15" customHeight="1" spans="1:6">
      <c r="A345" s="56" t="s">
        <v>1991</v>
      </c>
      <c r="B345" s="56" t="s">
        <v>2435</v>
      </c>
      <c r="C345" s="57" t="s">
        <v>96</v>
      </c>
      <c r="D345" s="56" t="s">
        <v>7</v>
      </c>
      <c r="E345" s="59" t="s">
        <v>1993</v>
      </c>
      <c r="F345" s="58"/>
    </row>
    <row r="346" ht="15" customHeight="1" spans="1:6">
      <c r="A346" s="56" t="s">
        <v>1991</v>
      </c>
      <c r="B346" s="56" t="s">
        <v>2436</v>
      </c>
      <c r="C346" s="57" t="s">
        <v>96</v>
      </c>
      <c r="D346" s="56" t="s">
        <v>7</v>
      </c>
      <c r="E346" s="59" t="s">
        <v>1993</v>
      </c>
      <c r="F346" s="58"/>
    </row>
    <row r="347" ht="15" customHeight="1" spans="1:6">
      <c r="A347" s="56" t="s">
        <v>1991</v>
      </c>
      <c r="B347" s="56" t="s">
        <v>2437</v>
      </c>
      <c r="C347" s="57" t="s">
        <v>96</v>
      </c>
      <c r="D347" s="56" t="s">
        <v>7</v>
      </c>
      <c r="E347" s="59" t="s">
        <v>1993</v>
      </c>
      <c r="F347" s="58"/>
    </row>
    <row r="348" ht="15" customHeight="1" spans="1:6">
      <c r="A348" s="56" t="s">
        <v>1991</v>
      </c>
      <c r="B348" s="56" t="s">
        <v>2438</v>
      </c>
      <c r="C348" s="57" t="s">
        <v>96</v>
      </c>
      <c r="D348" s="56" t="s">
        <v>7</v>
      </c>
      <c r="E348" s="59" t="s">
        <v>1993</v>
      </c>
      <c r="F348" s="58"/>
    </row>
    <row r="349" ht="15" customHeight="1" spans="1:6">
      <c r="A349" s="56" t="s">
        <v>1991</v>
      </c>
      <c r="B349" s="56" t="s">
        <v>2439</v>
      </c>
      <c r="C349" s="57" t="s">
        <v>96</v>
      </c>
      <c r="D349" s="56" t="s">
        <v>7</v>
      </c>
      <c r="E349" s="59" t="s">
        <v>1993</v>
      </c>
      <c r="F349" s="58"/>
    </row>
    <row r="350" ht="15" customHeight="1" spans="1:6">
      <c r="A350" s="56" t="s">
        <v>1991</v>
      </c>
      <c r="B350" s="56" t="s">
        <v>2440</v>
      </c>
      <c r="C350" s="57" t="s">
        <v>96</v>
      </c>
      <c r="D350" s="56" t="s">
        <v>7</v>
      </c>
      <c r="E350" s="59" t="s">
        <v>1993</v>
      </c>
      <c r="F350" s="58"/>
    </row>
    <row r="351" ht="15" customHeight="1" spans="1:6">
      <c r="A351" s="56" t="s">
        <v>1991</v>
      </c>
      <c r="B351" s="56" t="s">
        <v>2441</v>
      </c>
      <c r="C351" s="57" t="s">
        <v>96</v>
      </c>
      <c r="D351" s="56" t="s">
        <v>7</v>
      </c>
      <c r="E351" s="59" t="s">
        <v>1993</v>
      </c>
      <c r="F351" s="58"/>
    </row>
    <row r="352" ht="15" customHeight="1" spans="1:6">
      <c r="A352" s="56" t="s">
        <v>1991</v>
      </c>
      <c r="B352" s="56" t="s">
        <v>2442</v>
      </c>
      <c r="C352" s="57" t="s">
        <v>96</v>
      </c>
      <c r="D352" s="56" t="s">
        <v>7</v>
      </c>
      <c r="E352" s="59" t="s">
        <v>1993</v>
      </c>
      <c r="F352" s="58"/>
    </row>
    <row r="353" ht="15" customHeight="1" spans="1:6">
      <c r="A353" s="56" t="s">
        <v>1991</v>
      </c>
      <c r="B353" s="56" t="s">
        <v>2443</v>
      </c>
      <c r="C353" s="57" t="s">
        <v>96</v>
      </c>
      <c r="D353" s="56" t="s">
        <v>7</v>
      </c>
      <c r="E353" s="59" t="s">
        <v>1993</v>
      </c>
      <c r="F353" s="58"/>
    </row>
    <row r="354" ht="15" customHeight="1" spans="1:6">
      <c r="A354" s="56" t="s">
        <v>1991</v>
      </c>
      <c r="B354" s="56" t="s">
        <v>2444</v>
      </c>
      <c r="C354" s="57" t="s">
        <v>96</v>
      </c>
      <c r="D354" s="56" t="s">
        <v>7</v>
      </c>
      <c r="E354" s="59" t="s">
        <v>1993</v>
      </c>
      <c r="F354" s="58"/>
    </row>
    <row r="355" ht="15" customHeight="1" spans="1:6">
      <c r="A355" s="56" t="s">
        <v>1991</v>
      </c>
      <c r="B355" s="56" t="s">
        <v>2445</v>
      </c>
      <c r="C355" s="57" t="s">
        <v>96</v>
      </c>
      <c r="D355" s="56" t="s">
        <v>7</v>
      </c>
      <c r="E355" s="59" t="s">
        <v>1993</v>
      </c>
      <c r="F355" s="58"/>
    </row>
    <row r="356" ht="15" customHeight="1" spans="1:6">
      <c r="A356" s="56" t="s">
        <v>1991</v>
      </c>
      <c r="B356" s="56" t="s">
        <v>2446</v>
      </c>
      <c r="C356" s="57" t="s">
        <v>96</v>
      </c>
      <c r="D356" s="56" t="s">
        <v>7</v>
      </c>
      <c r="E356" s="59" t="s">
        <v>1993</v>
      </c>
      <c r="F356" s="58"/>
    </row>
    <row r="357" ht="15" customHeight="1" spans="1:6">
      <c r="A357" s="56" t="s">
        <v>1991</v>
      </c>
      <c r="B357" s="56" t="s">
        <v>2447</v>
      </c>
      <c r="C357" s="57" t="s">
        <v>96</v>
      </c>
      <c r="D357" s="56" t="s">
        <v>7</v>
      </c>
      <c r="E357" s="59" t="s">
        <v>1993</v>
      </c>
      <c r="F357" s="58"/>
    </row>
    <row r="358" ht="15" customHeight="1" spans="1:6">
      <c r="A358" s="56" t="s">
        <v>1991</v>
      </c>
      <c r="B358" s="56" t="s">
        <v>2448</v>
      </c>
      <c r="C358" s="57" t="s">
        <v>96</v>
      </c>
      <c r="D358" s="56" t="s">
        <v>7</v>
      </c>
      <c r="E358" s="59" t="s">
        <v>1993</v>
      </c>
      <c r="F358" s="58"/>
    </row>
    <row r="359" ht="15" customHeight="1" spans="1:6">
      <c r="A359" s="56" t="s">
        <v>1991</v>
      </c>
      <c r="B359" s="56" t="s">
        <v>2449</v>
      </c>
      <c r="C359" s="57" t="s">
        <v>96</v>
      </c>
      <c r="D359" s="56" t="s">
        <v>7</v>
      </c>
      <c r="E359" s="59" t="s">
        <v>1993</v>
      </c>
      <c r="F359" s="58"/>
    </row>
    <row r="360" ht="15" customHeight="1" spans="1:6">
      <c r="A360" s="56" t="s">
        <v>1991</v>
      </c>
      <c r="B360" s="56" t="s">
        <v>2450</v>
      </c>
      <c r="C360" s="57" t="s">
        <v>96</v>
      </c>
      <c r="D360" s="56" t="s">
        <v>7</v>
      </c>
      <c r="E360" s="59" t="s">
        <v>1993</v>
      </c>
      <c r="F360" s="58"/>
    </row>
    <row r="361" ht="15" customHeight="1" spans="1:6">
      <c r="A361" s="56" t="s">
        <v>1991</v>
      </c>
      <c r="B361" s="56" t="s">
        <v>2451</v>
      </c>
      <c r="C361" s="57" t="s">
        <v>96</v>
      </c>
      <c r="D361" s="56" t="s">
        <v>7</v>
      </c>
      <c r="E361" s="59" t="s">
        <v>1993</v>
      </c>
      <c r="F361" s="58"/>
    </row>
    <row r="362" ht="15" customHeight="1" spans="1:6">
      <c r="A362" s="56" t="s">
        <v>1991</v>
      </c>
      <c r="B362" s="56" t="s">
        <v>2452</v>
      </c>
      <c r="C362" s="57" t="s">
        <v>96</v>
      </c>
      <c r="D362" s="56" t="s">
        <v>7</v>
      </c>
      <c r="E362" s="59" t="s">
        <v>1993</v>
      </c>
      <c r="F362" s="58"/>
    </row>
    <row r="363" ht="15" customHeight="1" spans="1:6">
      <c r="A363" s="56" t="s">
        <v>1991</v>
      </c>
      <c r="B363" s="56" t="s">
        <v>2453</v>
      </c>
      <c r="C363" s="57" t="s">
        <v>96</v>
      </c>
      <c r="D363" s="56" t="s">
        <v>7</v>
      </c>
      <c r="E363" s="59" t="s">
        <v>1993</v>
      </c>
      <c r="F363" s="58"/>
    </row>
    <row r="364" ht="15" customHeight="1" spans="1:6">
      <c r="A364" s="56" t="s">
        <v>1991</v>
      </c>
      <c r="B364" s="56" t="s">
        <v>2454</v>
      </c>
      <c r="C364" s="57" t="s">
        <v>96</v>
      </c>
      <c r="D364" s="56" t="s">
        <v>7</v>
      </c>
      <c r="E364" s="59" t="s">
        <v>1993</v>
      </c>
      <c r="F364" s="58"/>
    </row>
    <row r="365" ht="15" customHeight="1" spans="1:6">
      <c r="A365" s="56" t="s">
        <v>1991</v>
      </c>
      <c r="B365" s="56" t="s">
        <v>2455</v>
      </c>
      <c r="C365" s="57" t="s">
        <v>96</v>
      </c>
      <c r="D365" s="56" t="s">
        <v>7</v>
      </c>
      <c r="E365" s="59" t="s">
        <v>1993</v>
      </c>
      <c r="F365" s="58"/>
    </row>
    <row r="366" ht="15" customHeight="1" spans="1:6">
      <c r="A366" s="56" t="s">
        <v>1991</v>
      </c>
      <c r="B366" s="56" t="s">
        <v>2456</v>
      </c>
      <c r="C366" s="57" t="s">
        <v>96</v>
      </c>
      <c r="D366" s="56" t="s">
        <v>7</v>
      </c>
      <c r="E366" s="59" t="s">
        <v>1993</v>
      </c>
      <c r="F366" s="58"/>
    </row>
    <row r="367" ht="15" customHeight="1" spans="1:6">
      <c r="A367" s="56" t="s">
        <v>1991</v>
      </c>
      <c r="B367" s="56" t="s">
        <v>2457</v>
      </c>
      <c r="C367" s="57" t="s">
        <v>96</v>
      </c>
      <c r="D367" s="56" t="s">
        <v>7</v>
      </c>
      <c r="E367" s="59" t="s">
        <v>1993</v>
      </c>
      <c r="F367" s="58"/>
    </row>
    <row r="368" ht="15" customHeight="1" spans="1:6">
      <c r="A368" s="56" t="s">
        <v>1991</v>
      </c>
      <c r="B368" s="56" t="s">
        <v>2458</v>
      </c>
      <c r="C368" s="57" t="s">
        <v>96</v>
      </c>
      <c r="D368" s="56" t="s">
        <v>7</v>
      </c>
      <c r="E368" s="59" t="s">
        <v>1993</v>
      </c>
      <c r="F368" s="58"/>
    </row>
    <row r="369" ht="15" customHeight="1" spans="1:6">
      <c r="A369" s="56" t="s">
        <v>1991</v>
      </c>
      <c r="B369" s="56" t="s">
        <v>2459</v>
      </c>
      <c r="C369" s="57" t="s">
        <v>96</v>
      </c>
      <c r="D369" s="56" t="s">
        <v>7</v>
      </c>
      <c r="E369" s="59" t="s">
        <v>1993</v>
      </c>
      <c r="F369" s="58"/>
    </row>
    <row r="370" ht="15" customHeight="1" spans="1:6">
      <c r="A370" s="56" t="s">
        <v>1991</v>
      </c>
      <c r="B370" s="56" t="s">
        <v>2460</v>
      </c>
      <c r="C370" s="57" t="s">
        <v>96</v>
      </c>
      <c r="D370" s="56" t="s">
        <v>7</v>
      </c>
      <c r="E370" s="59" t="s">
        <v>1993</v>
      </c>
      <c r="F370" s="58"/>
    </row>
    <row r="371" ht="15" customHeight="1" spans="1:6">
      <c r="A371" s="56" t="s">
        <v>1991</v>
      </c>
      <c r="B371" s="56" t="s">
        <v>2461</v>
      </c>
      <c r="C371" s="57" t="s">
        <v>96</v>
      </c>
      <c r="D371" s="56" t="s">
        <v>7</v>
      </c>
      <c r="E371" s="59" t="s">
        <v>1993</v>
      </c>
      <c r="F371" s="58"/>
    </row>
    <row r="372" ht="15" customHeight="1" spans="1:6">
      <c r="A372" s="56" t="s">
        <v>1991</v>
      </c>
      <c r="B372" s="56" t="s">
        <v>2462</v>
      </c>
      <c r="C372" s="57" t="s">
        <v>96</v>
      </c>
      <c r="D372" s="56" t="s">
        <v>7</v>
      </c>
      <c r="E372" s="59" t="s">
        <v>1993</v>
      </c>
      <c r="F372" s="58"/>
    </row>
    <row r="373" ht="15" customHeight="1" spans="1:6">
      <c r="A373" s="56" t="s">
        <v>1991</v>
      </c>
      <c r="B373" s="56" t="s">
        <v>2463</v>
      </c>
      <c r="C373" s="57" t="s">
        <v>96</v>
      </c>
      <c r="D373" s="56" t="s">
        <v>7</v>
      </c>
      <c r="E373" s="59" t="s">
        <v>1993</v>
      </c>
      <c r="F373" s="58"/>
    </row>
    <row r="374" ht="15" customHeight="1" spans="1:6">
      <c r="A374" s="56" t="s">
        <v>1991</v>
      </c>
      <c r="B374" s="56" t="s">
        <v>2464</v>
      </c>
      <c r="C374" s="57" t="s">
        <v>96</v>
      </c>
      <c r="D374" s="56" t="s">
        <v>7</v>
      </c>
      <c r="E374" s="59" t="s">
        <v>1993</v>
      </c>
      <c r="F374" s="58"/>
    </row>
    <row r="375" ht="15" customHeight="1" spans="1:6">
      <c r="A375" s="56" t="s">
        <v>1991</v>
      </c>
      <c r="B375" s="56" t="s">
        <v>2465</v>
      </c>
      <c r="C375" s="57" t="s">
        <v>96</v>
      </c>
      <c r="D375" s="56" t="s">
        <v>7</v>
      </c>
      <c r="E375" s="59" t="s">
        <v>1993</v>
      </c>
      <c r="F375" s="58"/>
    </row>
    <row r="376" ht="15" customHeight="1" spans="1:6">
      <c r="A376" s="56" t="s">
        <v>1991</v>
      </c>
      <c r="B376" s="56" t="s">
        <v>2466</v>
      </c>
      <c r="C376" s="57" t="s">
        <v>96</v>
      </c>
      <c r="D376" s="56" t="s">
        <v>7</v>
      </c>
      <c r="E376" s="59" t="s">
        <v>1993</v>
      </c>
      <c r="F376" s="58"/>
    </row>
    <row r="377" ht="15" customHeight="1" spans="1:6">
      <c r="A377" s="56" t="s">
        <v>1991</v>
      </c>
      <c r="B377" s="56" t="s">
        <v>2467</v>
      </c>
      <c r="C377" s="57" t="s">
        <v>96</v>
      </c>
      <c r="D377" s="56" t="s">
        <v>7</v>
      </c>
      <c r="E377" s="59" t="s">
        <v>1993</v>
      </c>
      <c r="F377" s="58"/>
    </row>
    <row r="378" ht="15" customHeight="1" spans="1:6">
      <c r="A378" s="56" t="s">
        <v>1991</v>
      </c>
      <c r="B378" s="56" t="s">
        <v>2468</v>
      </c>
      <c r="C378" s="57" t="s">
        <v>96</v>
      </c>
      <c r="D378" s="56" t="s">
        <v>7</v>
      </c>
      <c r="E378" s="59" t="s">
        <v>1993</v>
      </c>
      <c r="F378" s="58"/>
    </row>
    <row r="379" ht="15" customHeight="1" spans="1:6">
      <c r="A379" s="56" t="s">
        <v>1991</v>
      </c>
      <c r="B379" s="56" t="s">
        <v>2469</v>
      </c>
      <c r="C379" s="57" t="s">
        <v>2470</v>
      </c>
      <c r="D379" s="56" t="s">
        <v>7</v>
      </c>
      <c r="E379" s="59" t="s">
        <v>1993</v>
      </c>
      <c r="F379" s="58"/>
    </row>
    <row r="380" ht="15" customHeight="1" spans="1:6">
      <c r="A380" s="56" t="s">
        <v>1991</v>
      </c>
      <c r="B380" s="56" t="s">
        <v>2471</v>
      </c>
      <c r="C380" s="57" t="s">
        <v>2470</v>
      </c>
      <c r="D380" s="56" t="s">
        <v>7</v>
      </c>
      <c r="E380" s="59" t="s">
        <v>1993</v>
      </c>
      <c r="F380" s="58"/>
    </row>
    <row r="381" ht="15" customHeight="1" spans="1:6">
      <c r="A381" s="56" t="s">
        <v>1991</v>
      </c>
      <c r="B381" s="56" t="s">
        <v>2472</v>
      </c>
      <c r="C381" s="57" t="s">
        <v>337</v>
      </c>
      <c r="D381" s="56" t="s">
        <v>7</v>
      </c>
      <c r="E381" s="59" t="s">
        <v>1993</v>
      </c>
      <c r="F381" s="58"/>
    </row>
    <row r="382" ht="15" customHeight="1" spans="1:6">
      <c r="A382" s="56" t="s">
        <v>1991</v>
      </c>
      <c r="B382" s="56" t="s">
        <v>2473</v>
      </c>
      <c r="C382" s="57" t="s">
        <v>2470</v>
      </c>
      <c r="D382" s="56" t="s">
        <v>7</v>
      </c>
      <c r="E382" s="59" t="s">
        <v>1993</v>
      </c>
      <c r="F382" s="58"/>
    </row>
    <row r="383" ht="15" customHeight="1" spans="1:6">
      <c r="A383" s="56" t="s">
        <v>1991</v>
      </c>
      <c r="B383" s="56" t="s">
        <v>2474</v>
      </c>
      <c r="C383" s="57" t="s">
        <v>2475</v>
      </c>
      <c r="D383" s="56" t="s">
        <v>7</v>
      </c>
      <c r="E383" s="59" t="s">
        <v>1993</v>
      </c>
      <c r="F383" s="58"/>
    </row>
    <row r="384" ht="15" customHeight="1" spans="1:6">
      <c r="A384" s="56" t="s">
        <v>1991</v>
      </c>
      <c r="B384" s="56" t="s">
        <v>2476</v>
      </c>
      <c r="C384" s="57" t="s">
        <v>330</v>
      </c>
      <c r="D384" s="56" t="s">
        <v>7</v>
      </c>
      <c r="E384" s="59" t="s">
        <v>1993</v>
      </c>
      <c r="F384" s="58"/>
    </row>
    <row r="385" ht="15" customHeight="1" spans="1:6">
      <c r="A385" s="56" t="s">
        <v>1991</v>
      </c>
      <c r="B385" s="56" t="s">
        <v>2477</v>
      </c>
      <c r="C385" s="57" t="s">
        <v>2478</v>
      </c>
      <c r="D385" s="56" t="s">
        <v>7</v>
      </c>
      <c r="E385" s="59" t="s">
        <v>1993</v>
      </c>
      <c r="F385" s="58"/>
    </row>
    <row r="386" ht="15" customHeight="1" spans="1:6">
      <c r="A386" s="56" t="s">
        <v>1991</v>
      </c>
      <c r="B386" s="56" t="s">
        <v>2479</v>
      </c>
      <c r="C386" s="57" t="s">
        <v>1611</v>
      </c>
      <c r="D386" s="56" t="s">
        <v>7</v>
      </c>
      <c r="E386" s="59" t="s">
        <v>1993</v>
      </c>
      <c r="F386" s="58"/>
    </row>
    <row r="387" ht="15" customHeight="1" spans="1:6">
      <c r="A387" s="56" t="s">
        <v>1991</v>
      </c>
      <c r="B387" s="56" t="s">
        <v>2480</v>
      </c>
      <c r="C387" s="57" t="s">
        <v>94</v>
      </c>
      <c r="D387" s="56" t="s">
        <v>7</v>
      </c>
      <c r="E387" s="59" t="s">
        <v>1993</v>
      </c>
      <c r="F387" s="58"/>
    </row>
    <row r="388" ht="15" customHeight="1" spans="1:6">
      <c r="A388" s="56" t="s">
        <v>1991</v>
      </c>
      <c r="B388" s="56" t="s">
        <v>2481</v>
      </c>
      <c r="C388" s="57" t="s">
        <v>95</v>
      </c>
      <c r="D388" s="56" t="s">
        <v>7</v>
      </c>
      <c r="E388" s="59" t="s">
        <v>1993</v>
      </c>
      <c r="F388" s="58"/>
    </row>
    <row r="389" ht="15" customHeight="1" spans="1:6">
      <c r="A389" s="56" t="s">
        <v>1991</v>
      </c>
      <c r="B389" s="56" t="s">
        <v>2482</v>
      </c>
      <c r="C389" s="57" t="s">
        <v>95</v>
      </c>
      <c r="D389" s="56" t="s">
        <v>7</v>
      </c>
      <c r="E389" s="59" t="s">
        <v>1993</v>
      </c>
      <c r="F389" s="58"/>
    </row>
    <row r="390" ht="15" customHeight="1" spans="1:6">
      <c r="A390" s="56" t="s">
        <v>1991</v>
      </c>
      <c r="B390" s="56" t="s">
        <v>2483</v>
      </c>
      <c r="C390" s="57" t="s">
        <v>362</v>
      </c>
      <c r="D390" s="56" t="s">
        <v>7</v>
      </c>
      <c r="E390" s="59" t="s">
        <v>1993</v>
      </c>
      <c r="F390" s="58"/>
    </row>
    <row r="391" ht="15" customHeight="1" spans="1:6">
      <c r="A391" s="56" t="s">
        <v>1991</v>
      </c>
      <c r="B391" s="56" t="s">
        <v>2484</v>
      </c>
      <c r="C391" s="57" t="s">
        <v>96</v>
      </c>
      <c r="D391" s="56" t="s">
        <v>7</v>
      </c>
      <c r="E391" s="59" t="s">
        <v>1993</v>
      </c>
      <c r="F391" s="58"/>
    </row>
    <row r="392" ht="15" customHeight="1" spans="1:6">
      <c r="A392" s="56" t="s">
        <v>1991</v>
      </c>
      <c r="B392" s="56" t="s">
        <v>2485</v>
      </c>
      <c r="C392" s="57" t="s">
        <v>120</v>
      </c>
      <c r="D392" s="56" t="s">
        <v>7</v>
      </c>
      <c r="E392" s="59" t="s">
        <v>1993</v>
      </c>
      <c r="F392" s="58"/>
    </row>
    <row r="393" ht="15" customHeight="1" spans="1:6">
      <c r="A393" s="56" t="s">
        <v>1991</v>
      </c>
      <c r="B393" s="56" t="s">
        <v>2486</v>
      </c>
      <c r="C393" s="57" t="s">
        <v>120</v>
      </c>
      <c r="D393" s="56" t="s">
        <v>7</v>
      </c>
      <c r="E393" s="59" t="s">
        <v>1993</v>
      </c>
      <c r="F393" s="58"/>
    </row>
    <row r="394" ht="15" customHeight="1" spans="1:6">
      <c r="A394" s="56" t="s">
        <v>1991</v>
      </c>
      <c r="B394" s="56" t="s">
        <v>2487</v>
      </c>
      <c r="C394" s="57" t="s">
        <v>120</v>
      </c>
      <c r="D394" s="56" t="s">
        <v>7</v>
      </c>
      <c r="E394" s="59" t="s">
        <v>1993</v>
      </c>
      <c r="F394" s="58"/>
    </row>
    <row r="395" ht="15" customHeight="1" spans="1:6">
      <c r="A395" s="56" t="s">
        <v>1991</v>
      </c>
      <c r="B395" s="56" t="s">
        <v>2488</v>
      </c>
      <c r="C395" s="57" t="s">
        <v>120</v>
      </c>
      <c r="D395" s="56" t="s">
        <v>7</v>
      </c>
      <c r="E395" s="59" t="s">
        <v>1993</v>
      </c>
      <c r="F395" s="58"/>
    </row>
    <row r="396" ht="15" customHeight="1" spans="1:6">
      <c r="A396" s="56" t="s">
        <v>1991</v>
      </c>
      <c r="B396" s="56" t="s">
        <v>2489</v>
      </c>
      <c r="C396" s="57" t="s">
        <v>120</v>
      </c>
      <c r="D396" s="56" t="s">
        <v>7</v>
      </c>
      <c r="E396" s="59" t="s">
        <v>1993</v>
      </c>
      <c r="F396" s="58"/>
    </row>
    <row r="397" ht="15" customHeight="1" spans="1:6">
      <c r="A397" s="56" t="s">
        <v>1991</v>
      </c>
      <c r="B397" s="56" t="s">
        <v>2490</v>
      </c>
      <c r="C397" s="57" t="s">
        <v>120</v>
      </c>
      <c r="D397" s="56" t="s">
        <v>7</v>
      </c>
      <c r="E397" s="59" t="s">
        <v>1993</v>
      </c>
      <c r="F397" s="58"/>
    </row>
    <row r="398" ht="15" customHeight="1" spans="1:6">
      <c r="A398" s="56" t="s">
        <v>1991</v>
      </c>
      <c r="B398" s="56" t="s">
        <v>2491</v>
      </c>
      <c r="C398" s="57" t="s">
        <v>120</v>
      </c>
      <c r="D398" s="56" t="s">
        <v>7</v>
      </c>
      <c r="E398" s="59" t="s">
        <v>1993</v>
      </c>
      <c r="F398" s="58"/>
    </row>
    <row r="399" ht="15" customHeight="1" spans="1:6">
      <c r="A399" s="56" t="s">
        <v>1991</v>
      </c>
      <c r="B399" s="56" t="s">
        <v>2492</v>
      </c>
      <c r="C399" s="57" t="s">
        <v>120</v>
      </c>
      <c r="D399" s="56" t="s">
        <v>7</v>
      </c>
      <c r="E399" s="59" t="s">
        <v>1993</v>
      </c>
      <c r="F399" s="58"/>
    </row>
    <row r="400" ht="15" customHeight="1" spans="1:6">
      <c r="A400" s="56" t="s">
        <v>1991</v>
      </c>
      <c r="B400" s="56" t="s">
        <v>2493</v>
      </c>
      <c r="C400" s="57" t="s">
        <v>120</v>
      </c>
      <c r="D400" s="56" t="s">
        <v>7</v>
      </c>
      <c r="E400" s="59" t="s">
        <v>1993</v>
      </c>
      <c r="F400" s="58"/>
    </row>
    <row r="401" ht="15" customHeight="1" spans="1:6">
      <c r="A401" s="56" t="s">
        <v>1991</v>
      </c>
      <c r="B401" s="56" t="s">
        <v>2494</v>
      </c>
      <c r="C401" s="57" t="s">
        <v>120</v>
      </c>
      <c r="D401" s="56" t="s">
        <v>7</v>
      </c>
      <c r="E401" s="59" t="s">
        <v>1993</v>
      </c>
      <c r="F401" s="58"/>
    </row>
    <row r="402" ht="15" customHeight="1" spans="1:6">
      <c r="A402" s="56" t="s">
        <v>1991</v>
      </c>
      <c r="B402" s="56" t="s">
        <v>2495</v>
      </c>
      <c r="C402" s="57" t="s">
        <v>120</v>
      </c>
      <c r="D402" s="56" t="s">
        <v>7</v>
      </c>
      <c r="E402" s="59" t="s">
        <v>1993</v>
      </c>
      <c r="F402" s="58"/>
    </row>
    <row r="403" ht="15" customHeight="1" spans="1:6">
      <c r="A403" s="56" t="s">
        <v>1991</v>
      </c>
      <c r="B403" s="56" t="s">
        <v>2496</v>
      </c>
      <c r="C403" s="57" t="s">
        <v>120</v>
      </c>
      <c r="D403" s="56" t="s">
        <v>7</v>
      </c>
      <c r="E403" s="59" t="s">
        <v>1993</v>
      </c>
      <c r="F403" s="58"/>
    </row>
    <row r="404" ht="15" customHeight="1" spans="1:6">
      <c r="A404" s="56" t="s">
        <v>1991</v>
      </c>
      <c r="B404" s="56" t="s">
        <v>2497</v>
      </c>
      <c r="C404" s="57" t="s">
        <v>120</v>
      </c>
      <c r="D404" s="56" t="s">
        <v>7</v>
      </c>
      <c r="E404" s="59" t="s">
        <v>1993</v>
      </c>
      <c r="F404" s="58"/>
    </row>
    <row r="405" ht="15" customHeight="1" spans="1:6">
      <c r="A405" s="56" t="s">
        <v>1991</v>
      </c>
      <c r="B405" s="56" t="s">
        <v>2498</v>
      </c>
      <c r="C405" s="57" t="s">
        <v>120</v>
      </c>
      <c r="D405" s="56" t="s">
        <v>7</v>
      </c>
      <c r="E405" s="59" t="s">
        <v>1993</v>
      </c>
      <c r="F405" s="58"/>
    </row>
    <row r="406" ht="15" customHeight="1" spans="1:6">
      <c r="A406" s="56" t="s">
        <v>1991</v>
      </c>
      <c r="B406" s="56" t="s">
        <v>2499</v>
      </c>
      <c r="C406" s="57" t="s">
        <v>120</v>
      </c>
      <c r="D406" s="56" t="s">
        <v>7</v>
      </c>
      <c r="E406" s="59" t="s">
        <v>1993</v>
      </c>
      <c r="F406" s="58"/>
    </row>
    <row r="407" ht="15" customHeight="1" spans="1:6">
      <c r="A407" s="56" t="s">
        <v>1991</v>
      </c>
      <c r="B407" s="56" t="s">
        <v>2500</v>
      </c>
      <c r="C407" s="57" t="s">
        <v>120</v>
      </c>
      <c r="D407" s="56" t="s">
        <v>7</v>
      </c>
      <c r="E407" s="59" t="s">
        <v>1993</v>
      </c>
      <c r="F407" s="58"/>
    </row>
    <row r="408" ht="15" customHeight="1" spans="1:6">
      <c r="A408" s="56" t="s">
        <v>1991</v>
      </c>
      <c r="B408" s="56" t="s">
        <v>2501</v>
      </c>
      <c r="C408" s="57" t="s">
        <v>120</v>
      </c>
      <c r="D408" s="56" t="s">
        <v>7</v>
      </c>
      <c r="E408" s="59" t="s">
        <v>1993</v>
      </c>
      <c r="F408" s="58"/>
    </row>
    <row r="409" ht="15" customHeight="1" spans="1:6">
      <c r="A409" s="56" t="s">
        <v>1991</v>
      </c>
      <c r="B409" s="56" t="s">
        <v>2502</v>
      </c>
      <c r="C409" s="57" t="s">
        <v>120</v>
      </c>
      <c r="D409" s="56" t="s">
        <v>7</v>
      </c>
      <c r="E409" s="59" t="s">
        <v>1993</v>
      </c>
      <c r="F409" s="58"/>
    </row>
    <row r="410" ht="15" customHeight="1" spans="1:6">
      <c r="A410" s="56" t="s">
        <v>1991</v>
      </c>
      <c r="B410" s="56" t="s">
        <v>2503</v>
      </c>
      <c r="C410" s="57" t="s">
        <v>120</v>
      </c>
      <c r="D410" s="56" t="s">
        <v>7</v>
      </c>
      <c r="E410" s="59" t="s">
        <v>1993</v>
      </c>
      <c r="F410" s="58"/>
    </row>
    <row r="411" ht="15" customHeight="1" spans="1:6">
      <c r="A411" s="56" t="s">
        <v>1991</v>
      </c>
      <c r="B411" s="56" t="s">
        <v>2504</v>
      </c>
      <c r="C411" s="57" t="s">
        <v>120</v>
      </c>
      <c r="D411" s="56" t="s">
        <v>7</v>
      </c>
      <c r="E411" s="59" t="s">
        <v>1993</v>
      </c>
      <c r="F411" s="58"/>
    </row>
    <row r="412" ht="15" customHeight="1" spans="1:6">
      <c r="A412" s="56" t="s">
        <v>1991</v>
      </c>
      <c r="B412" s="56" t="s">
        <v>2505</v>
      </c>
      <c r="C412" s="57" t="s">
        <v>120</v>
      </c>
      <c r="D412" s="56" t="s">
        <v>7</v>
      </c>
      <c r="E412" s="59" t="s">
        <v>1993</v>
      </c>
      <c r="F412" s="58"/>
    </row>
    <row r="413" ht="15" customHeight="1" spans="1:6">
      <c r="A413" s="56" t="s">
        <v>1991</v>
      </c>
      <c r="B413" s="56" t="s">
        <v>2506</v>
      </c>
      <c r="C413" s="57" t="s">
        <v>120</v>
      </c>
      <c r="D413" s="56" t="s">
        <v>7</v>
      </c>
      <c r="E413" s="59" t="s">
        <v>1993</v>
      </c>
      <c r="F413" s="58"/>
    </row>
    <row r="414" ht="15" customHeight="1" spans="1:6">
      <c r="A414" s="56" t="s">
        <v>1991</v>
      </c>
      <c r="B414" s="56" t="s">
        <v>2507</v>
      </c>
      <c r="C414" s="57" t="s">
        <v>120</v>
      </c>
      <c r="D414" s="56" t="s">
        <v>7</v>
      </c>
      <c r="E414" s="59" t="s">
        <v>1993</v>
      </c>
      <c r="F414" s="58"/>
    </row>
    <row r="415" ht="15" customHeight="1" spans="1:6">
      <c r="A415" s="56" t="s">
        <v>1991</v>
      </c>
      <c r="B415" s="56" t="s">
        <v>2508</v>
      </c>
      <c r="C415" s="57" t="s">
        <v>120</v>
      </c>
      <c r="D415" s="56" t="s">
        <v>7</v>
      </c>
      <c r="E415" s="59" t="s">
        <v>1993</v>
      </c>
      <c r="F415" s="58"/>
    </row>
    <row r="416" ht="15" customHeight="1" spans="1:6">
      <c r="A416" s="56" t="s">
        <v>1991</v>
      </c>
      <c r="B416" s="56" t="s">
        <v>2509</v>
      </c>
      <c r="C416" s="57" t="s">
        <v>120</v>
      </c>
      <c r="D416" s="56" t="s">
        <v>7</v>
      </c>
      <c r="E416" s="59" t="s">
        <v>1993</v>
      </c>
      <c r="F416" s="58"/>
    </row>
    <row r="417" ht="15" customHeight="1" spans="1:6">
      <c r="A417" s="56" t="s">
        <v>1991</v>
      </c>
      <c r="B417" s="56" t="s">
        <v>2510</v>
      </c>
      <c r="C417" s="57" t="s">
        <v>120</v>
      </c>
      <c r="D417" s="56" t="s">
        <v>7</v>
      </c>
      <c r="E417" s="59" t="s">
        <v>1993</v>
      </c>
      <c r="F417" s="58"/>
    </row>
    <row r="418" ht="15" customHeight="1" spans="1:6">
      <c r="A418" s="56" t="s">
        <v>1991</v>
      </c>
      <c r="B418" s="56" t="s">
        <v>2511</v>
      </c>
      <c r="C418" s="57" t="s">
        <v>120</v>
      </c>
      <c r="D418" s="56" t="s">
        <v>7</v>
      </c>
      <c r="E418" s="59" t="s">
        <v>1993</v>
      </c>
      <c r="F418" s="58"/>
    </row>
    <row r="419" ht="15" customHeight="1" spans="1:6">
      <c r="A419" s="56" t="s">
        <v>1991</v>
      </c>
      <c r="B419" s="56" t="s">
        <v>2512</v>
      </c>
      <c r="C419" s="57" t="s">
        <v>120</v>
      </c>
      <c r="D419" s="56" t="s">
        <v>7</v>
      </c>
      <c r="E419" s="59" t="s">
        <v>1993</v>
      </c>
      <c r="F419" s="58"/>
    </row>
    <row r="420" ht="15" customHeight="1" spans="1:6">
      <c r="A420" s="56" t="s">
        <v>1991</v>
      </c>
      <c r="B420" s="56" t="s">
        <v>2513</v>
      </c>
      <c r="C420" s="57" t="s">
        <v>120</v>
      </c>
      <c r="D420" s="56" t="s">
        <v>7</v>
      </c>
      <c r="E420" s="59" t="s">
        <v>1993</v>
      </c>
      <c r="F420" s="58"/>
    </row>
    <row r="421" ht="15" customHeight="1" spans="1:6">
      <c r="A421" s="56" t="s">
        <v>1991</v>
      </c>
      <c r="B421" s="56" t="s">
        <v>2514</v>
      </c>
      <c r="C421" s="57" t="s">
        <v>120</v>
      </c>
      <c r="D421" s="56" t="s">
        <v>7</v>
      </c>
      <c r="E421" s="59" t="s">
        <v>1993</v>
      </c>
      <c r="F421" s="58"/>
    </row>
    <row r="422" ht="15" customHeight="1" spans="1:6">
      <c r="A422" s="56" t="s">
        <v>1991</v>
      </c>
      <c r="B422" s="56" t="s">
        <v>2515</v>
      </c>
      <c r="C422" s="57" t="s">
        <v>120</v>
      </c>
      <c r="D422" s="56" t="s">
        <v>7</v>
      </c>
      <c r="E422" s="59" t="s">
        <v>1993</v>
      </c>
      <c r="F422" s="58"/>
    </row>
    <row r="423" ht="15" customHeight="1" spans="1:6">
      <c r="A423" s="56" t="s">
        <v>1991</v>
      </c>
      <c r="B423" s="56" t="s">
        <v>2516</v>
      </c>
      <c r="C423" s="57" t="s">
        <v>120</v>
      </c>
      <c r="D423" s="56" t="s">
        <v>7</v>
      </c>
      <c r="E423" s="59" t="s">
        <v>1993</v>
      </c>
      <c r="F423" s="58"/>
    </row>
    <row r="424" ht="15" customHeight="1" spans="1:6">
      <c r="A424" s="56" t="s">
        <v>1991</v>
      </c>
      <c r="B424" s="56" t="s">
        <v>2517</v>
      </c>
      <c r="C424" s="57" t="s">
        <v>120</v>
      </c>
      <c r="D424" s="56" t="s">
        <v>7</v>
      </c>
      <c r="E424" s="59" t="s">
        <v>1993</v>
      </c>
      <c r="F424" s="58"/>
    </row>
    <row r="425" ht="15" customHeight="1" spans="1:6">
      <c r="A425" s="56" t="s">
        <v>1991</v>
      </c>
      <c r="B425" s="56" t="s">
        <v>2518</v>
      </c>
      <c r="C425" s="57" t="s">
        <v>120</v>
      </c>
      <c r="D425" s="56" t="s">
        <v>7</v>
      </c>
      <c r="E425" s="59" t="s">
        <v>1993</v>
      </c>
      <c r="F425" s="58"/>
    </row>
    <row r="426" ht="15" customHeight="1" spans="1:6">
      <c r="A426" s="56" t="s">
        <v>1991</v>
      </c>
      <c r="B426" s="56" t="s">
        <v>2519</v>
      </c>
      <c r="C426" s="57" t="s">
        <v>120</v>
      </c>
      <c r="D426" s="56" t="s">
        <v>7</v>
      </c>
      <c r="E426" s="59" t="s">
        <v>1993</v>
      </c>
      <c r="F426" s="58"/>
    </row>
    <row r="427" ht="15" customHeight="1" spans="1:6">
      <c r="A427" s="56" t="s">
        <v>1991</v>
      </c>
      <c r="B427" s="56" t="s">
        <v>2520</v>
      </c>
      <c r="C427" s="57" t="s">
        <v>120</v>
      </c>
      <c r="D427" s="56" t="s">
        <v>7</v>
      </c>
      <c r="E427" s="59" t="s">
        <v>1993</v>
      </c>
      <c r="F427" s="58"/>
    </row>
    <row r="428" ht="15" customHeight="1" spans="1:6">
      <c r="A428" s="56" t="s">
        <v>1991</v>
      </c>
      <c r="B428" s="56" t="s">
        <v>2521</v>
      </c>
      <c r="C428" s="57" t="s">
        <v>49</v>
      </c>
      <c r="D428" s="56" t="s">
        <v>7</v>
      </c>
      <c r="E428" s="59" t="s">
        <v>1993</v>
      </c>
      <c r="F428" s="58"/>
    </row>
    <row r="429" ht="15" customHeight="1" spans="1:6">
      <c r="A429" s="56" t="s">
        <v>1991</v>
      </c>
      <c r="B429" s="56" t="s">
        <v>2522</v>
      </c>
      <c r="C429" s="57" t="s">
        <v>235</v>
      </c>
      <c r="D429" s="56" t="s">
        <v>7</v>
      </c>
      <c r="E429" s="59" t="s">
        <v>1993</v>
      </c>
      <c r="F429" s="58"/>
    </row>
    <row r="430" ht="15" customHeight="1" spans="1:6">
      <c r="A430" s="56" t="s">
        <v>1991</v>
      </c>
      <c r="B430" s="56" t="s">
        <v>2523</v>
      </c>
      <c r="C430" s="57" t="s">
        <v>330</v>
      </c>
      <c r="D430" s="56" t="s">
        <v>7</v>
      </c>
      <c r="E430" s="59" t="s">
        <v>1993</v>
      </c>
      <c r="F430" s="58"/>
    </row>
    <row r="431" ht="15" customHeight="1" spans="1:6">
      <c r="A431" s="56" t="s">
        <v>1991</v>
      </c>
      <c r="B431" s="56" t="s">
        <v>2524</v>
      </c>
      <c r="C431" s="57" t="s">
        <v>38</v>
      </c>
      <c r="D431" s="56" t="s">
        <v>7</v>
      </c>
      <c r="E431" s="59" t="s">
        <v>1993</v>
      </c>
      <c r="F431" s="58"/>
    </row>
    <row r="432" ht="15" customHeight="1" spans="1:6">
      <c r="A432" s="56" t="s">
        <v>1991</v>
      </c>
      <c r="B432" s="56" t="s">
        <v>2525</v>
      </c>
      <c r="C432" s="57" t="s">
        <v>2526</v>
      </c>
      <c r="D432" s="56" t="s">
        <v>7</v>
      </c>
      <c r="E432" s="59" t="s">
        <v>1993</v>
      </c>
      <c r="F432" s="58"/>
    </row>
    <row r="433" ht="15" customHeight="1" spans="1:6">
      <c r="A433" s="56" t="s">
        <v>1991</v>
      </c>
      <c r="B433" s="56" t="s">
        <v>2527</v>
      </c>
      <c r="C433" s="57" t="s">
        <v>2528</v>
      </c>
      <c r="D433" s="56" t="s">
        <v>7</v>
      </c>
      <c r="E433" s="59" t="s">
        <v>1993</v>
      </c>
      <c r="F433" s="58"/>
    </row>
    <row r="434" ht="15" customHeight="1" spans="1:6">
      <c r="A434" s="56" t="s">
        <v>1991</v>
      </c>
      <c r="B434" s="56" t="s">
        <v>2529</v>
      </c>
      <c r="C434" s="57" t="s">
        <v>1148</v>
      </c>
      <c r="D434" s="56" t="s">
        <v>7</v>
      </c>
      <c r="E434" s="59" t="s">
        <v>1993</v>
      </c>
      <c r="F434" s="58"/>
    </row>
    <row r="435" ht="15" customHeight="1" spans="1:6">
      <c r="A435" s="56" t="s">
        <v>1991</v>
      </c>
      <c r="B435" s="56" t="s">
        <v>2530</v>
      </c>
      <c r="C435" s="57" t="s">
        <v>1148</v>
      </c>
      <c r="D435" s="56" t="s">
        <v>7</v>
      </c>
      <c r="E435" s="59" t="s">
        <v>1993</v>
      </c>
      <c r="F435" s="58"/>
    </row>
    <row r="436" ht="15" customHeight="1" spans="1:6">
      <c r="A436" s="56" t="s">
        <v>1991</v>
      </c>
      <c r="B436" s="56" t="s">
        <v>2531</v>
      </c>
      <c r="C436" s="57" t="s">
        <v>362</v>
      </c>
      <c r="D436" s="56" t="s">
        <v>7</v>
      </c>
      <c r="E436" s="59" t="s">
        <v>1993</v>
      </c>
      <c r="F436" s="58"/>
    </row>
    <row r="437" ht="15" customHeight="1" spans="1:6">
      <c r="A437" s="56" t="s">
        <v>1991</v>
      </c>
      <c r="B437" s="56" t="s">
        <v>2532</v>
      </c>
      <c r="C437" s="57" t="s">
        <v>2478</v>
      </c>
      <c r="D437" s="56" t="s">
        <v>7</v>
      </c>
      <c r="E437" s="59" t="s">
        <v>1993</v>
      </c>
      <c r="F437" s="58"/>
    </row>
    <row r="438" ht="15" customHeight="1" spans="1:6">
      <c r="A438" s="56" t="s">
        <v>1991</v>
      </c>
      <c r="B438" s="56" t="s">
        <v>2533</v>
      </c>
      <c r="C438" s="57" t="s">
        <v>2534</v>
      </c>
      <c r="D438" s="56" t="s">
        <v>7</v>
      </c>
      <c r="E438" s="59" t="s">
        <v>1993</v>
      </c>
      <c r="F438" s="58"/>
    </row>
    <row r="439" ht="15" customHeight="1" spans="1:6">
      <c r="A439" s="56" t="s">
        <v>1991</v>
      </c>
      <c r="B439" s="56" t="s">
        <v>2535</v>
      </c>
      <c r="C439" s="57" t="s">
        <v>2536</v>
      </c>
      <c r="D439" s="56" t="s">
        <v>7</v>
      </c>
      <c r="E439" s="59" t="s">
        <v>1993</v>
      </c>
      <c r="F439" s="58"/>
    </row>
    <row r="440" ht="15" customHeight="1" spans="1:6">
      <c r="A440" s="56" t="s">
        <v>1991</v>
      </c>
      <c r="B440" s="56" t="s">
        <v>2537</v>
      </c>
      <c r="C440" s="57" t="s">
        <v>49</v>
      </c>
      <c r="D440" s="56" t="s">
        <v>7</v>
      </c>
      <c r="E440" s="59" t="s">
        <v>1993</v>
      </c>
      <c r="F440" s="58"/>
    </row>
    <row r="441" ht="15" customHeight="1" spans="1:6">
      <c r="A441" s="56" t="s">
        <v>1991</v>
      </c>
      <c r="B441" s="56" t="s">
        <v>2538</v>
      </c>
      <c r="C441" s="57" t="s">
        <v>2536</v>
      </c>
      <c r="D441" s="56" t="s">
        <v>7</v>
      </c>
      <c r="E441" s="59" t="s">
        <v>1993</v>
      </c>
      <c r="F441" s="58"/>
    </row>
    <row r="442" ht="15" customHeight="1" spans="1:6">
      <c r="A442" s="56" t="s">
        <v>1991</v>
      </c>
      <c r="B442" s="56" t="s">
        <v>2539</v>
      </c>
      <c r="C442" s="57" t="s">
        <v>2536</v>
      </c>
      <c r="D442" s="56" t="s">
        <v>7</v>
      </c>
      <c r="E442" s="59" t="s">
        <v>1993</v>
      </c>
      <c r="F442" s="58"/>
    </row>
    <row r="443" ht="15" customHeight="1" spans="1:6">
      <c r="A443" s="56" t="s">
        <v>1991</v>
      </c>
      <c r="B443" s="56" t="s">
        <v>2540</v>
      </c>
      <c r="C443" s="57" t="s">
        <v>2536</v>
      </c>
      <c r="D443" s="56" t="s">
        <v>7</v>
      </c>
      <c r="E443" s="59" t="s">
        <v>1993</v>
      </c>
      <c r="F443" s="58"/>
    </row>
    <row r="444" ht="15" customHeight="1" spans="1:6">
      <c r="A444" s="56" t="s">
        <v>1991</v>
      </c>
      <c r="B444" s="56" t="s">
        <v>2541</v>
      </c>
      <c r="C444" s="57" t="s">
        <v>2536</v>
      </c>
      <c r="D444" s="56" t="s">
        <v>7</v>
      </c>
      <c r="E444" s="59" t="s">
        <v>1993</v>
      </c>
      <c r="F444" s="58"/>
    </row>
    <row r="445" ht="15" customHeight="1" spans="1:6">
      <c r="A445" s="56" t="s">
        <v>1991</v>
      </c>
      <c r="B445" s="56" t="s">
        <v>2542</v>
      </c>
      <c r="C445" s="57" t="s">
        <v>2536</v>
      </c>
      <c r="D445" s="56" t="s">
        <v>7</v>
      </c>
      <c r="E445" s="59" t="s">
        <v>1993</v>
      </c>
      <c r="F445" s="58"/>
    </row>
    <row r="446" ht="15" customHeight="1" spans="1:6">
      <c r="A446" s="56" t="s">
        <v>1991</v>
      </c>
      <c r="B446" s="56" t="s">
        <v>2543</v>
      </c>
      <c r="C446" s="57" t="s">
        <v>2536</v>
      </c>
      <c r="D446" s="56" t="s">
        <v>7</v>
      </c>
      <c r="E446" s="59" t="s">
        <v>1993</v>
      </c>
      <c r="F446" s="58"/>
    </row>
    <row r="447" ht="15" customHeight="1" spans="1:6">
      <c r="A447" s="56" t="s">
        <v>1991</v>
      </c>
      <c r="B447" s="56" t="s">
        <v>2544</v>
      </c>
      <c r="C447" s="57" t="s">
        <v>2536</v>
      </c>
      <c r="D447" s="56" t="s">
        <v>7</v>
      </c>
      <c r="E447" s="59" t="s">
        <v>1993</v>
      </c>
      <c r="F447" s="58"/>
    </row>
    <row r="448" ht="15" customHeight="1" spans="1:6">
      <c r="A448" s="56" t="s">
        <v>1991</v>
      </c>
      <c r="B448" s="56" t="s">
        <v>2545</v>
      </c>
      <c r="C448" s="57" t="s">
        <v>2536</v>
      </c>
      <c r="D448" s="56" t="s">
        <v>7</v>
      </c>
      <c r="E448" s="59" t="s">
        <v>1993</v>
      </c>
      <c r="F448" s="58"/>
    </row>
    <row r="449" ht="15" customHeight="1" spans="1:6">
      <c r="A449" s="56" t="s">
        <v>1991</v>
      </c>
      <c r="B449" s="56" t="s">
        <v>2546</v>
      </c>
      <c r="C449" s="57" t="s">
        <v>2536</v>
      </c>
      <c r="D449" s="56" t="s">
        <v>7</v>
      </c>
      <c r="E449" s="59" t="s">
        <v>1993</v>
      </c>
      <c r="F449" s="58"/>
    </row>
    <row r="450" ht="15" customHeight="1" spans="1:6">
      <c r="A450" s="56" t="s">
        <v>1991</v>
      </c>
      <c r="B450" s="56" t="s">
        <v>2547</v>
      </c>
      <c r="C450" s="57" t="s">
        <v>2536</v>
      </c>
      <c r="D450" s="56" t="s">
        <v>7</v>
      </c>
      <c r="E450" s="59" t="s">
        <v>1993</v>
      </c>
      <c r="F450" s="58"/>
    </row>
    <row r="451" ht="15" customHeight="1" spans="1:6">
      <c r="A451" s="56" t="s">
        <v>1991</v>
      </c>
      <c r="B451" s="56" t="s">
        <v>2548</v>
      </c>
      <c r="C451" s="57" t="s">
        <v>2536</v>
      </c>
      <c r="D451" s="56" t="s">
        <v>7</v>
      </c>
      <c r="E451" s="59" t="s">
        <v>1993</v>
      </c>
      <c r="F451" s="58"/>
    </row>
    <row r="452" ht="15" customHeight="1" spans="1:6">
      <c r="A452" s="56" t="s">
        <v>1991</v>
      </c>
      <c r="B452" s="56" t="s">
        <v>2549</v>
      </c>
      <c r="C452" s="57" t="s">
        <v>2536</v>
      </c>
      <c r="D452" s="56" t="s">
        <v>7</v>
      </c>
      <c r="E452" s="59" t="s">
        <v>1993</v>
      </c>
      <c r="F452" s="58"/>
    </row>
    <row r="453" ht="15" customHeight="1" spans="1:6">
      <c r="A453" s="56" t="s">
        <v>1991</v>
      </c>
      <c r="B453" s="56" t="s">
        <v>2550</v>
      </c>
      <c r="C453" s="57" t="s">
        <v>2536</v>
      </c>
      <c r="D453" s="56" t="s">
        <v>7</v>
      </c>
      <c r="E453" s="59" t="s">
        <v>1993</v>
      </c>
      <c r="F453" s="58"/>
    </row>
    <row r="454" ht="15" customHeight="1" spans="1:6">
      <c r="A454" s="56" t="s">
        <v>1991</v>
      </c>
      <c r="B454" s="56" t="s">
        <v>2551</v>
      </c>
      <c r="C454" s="57" t="s">
        <v>2536</v>
      </c>
      <c r="D454" s="56" t="s">
        <v>7</v>
      </c>
      <c r="E454" s="59" t="s">
        <v>1993</v>
      </c>
      <c r="F454" s="58"/>
    </row>
    <row r="455" ht="15" customHeight="1" spans="1:6">
      <c r="A455" s="56" t="s">
        <v>1991</v>
      </c>
      <c r="B455" s="56" t="s">
        <v>2552</v>
      </c>
      <c r="C455" s="57" t="s">
        <v>2536</v>
      </c>
      <c r="D455" s="56" t="s">
        <v>7</v>
      </c>
      <c r="E455" s="59" t="s">
        <v>1993</v>
      </c>
      <c r="F455" s="58"/>
    </row>
    <row r="456" ht="15" customHeight="1" spans="1:6">
      <c r="A456" s="56" t="s">
        <v>1991</v>
      </c>
      <c r="B456" s="56" t="s">
        <v>2553</v>
      </c>
      <c r="C456" s="57" t="s">
        <v>2536</v>
      </c>
      <c r="D456" s="56" t="s">
        <v>7</v>
      </c>
      <c r="E456" s="59" t="s">
        <v>1993</v>
      </c>
      <c r="F456" s="58"/>
    </row>
    <row r="457" ht="15" customHeight="1" spans="1:6">
      <c r="A457" s="56" t="s">
        <v>1991</v>
      </c>
      <c r="B457" s="56" t="s">
        <v>2554</v>
      </c>
      <c r="C457" s="57" t="s">
        <v>2536</v>
      </c>
      <c r="D457" s="56" t="s">
        <v>7</v>
      </c>
      <c r="E457" s="59" t="s">
        <v>1993</v>
      </c>
      <c r="F457" s="58"/>
    </row>
    <row r="458" ht="15" customHeight="1" spans="1:6">
      <c r="A458" s="56" t="s">
        <v>1991</v>
      </c>
      <c r="B458" s="56" t="s">
        <v>2555</v>
      </c>
      <c r="C458" s="57" t="s">
        <v>2536</v>
      </c>
      <c r="D458" s="56" t="s">
        <v>7</v>
      </c>
      <c r="E458" s="59" t="s">
        <v>1993</v>
      </c>
      <c r="F458" s="58"/>
    </row>
    <row r="459" ht="15" customHeight="1" spans="1:6">
      <c r="A459" s="56" t="s">
        <v>1991</v>
      </c>
      <c r="B459" s="56" t="s">
        <v>2556</v>
      </c>
      <c r="C459" s="57" t="s">
        <v>2536</v>
      </c>
      <c r="D459" s="56" t="s">
        <v>7</v>
      </c>
      <c r="E459" s="59" t="s">
        <v>1993</v>
      </c>
      <c r="F459" s="58"/>
    </row>
    <row r="460" ht="15" customHeight="1" spans="1:6">
      <c r="A460" s="56" t="s">
        <v>1991</v>
      </c>
      <c r="B460" s="56" t="s">
        <v>2557</v>
      </c>
      <c r="C460" s="57" t="s">
        <v>2536</v>
      </c>
      <c r="D460" s="56" t="s">
        <v>7</v>
      </c>
      <c r="E460" s="59" t="s">
        <v>1993</v>
      </c>
      <c r="F460" s="58"/>
    </row>
    <row r="461" ht="15" customHeight="1" spans="1:6">
      <c r="A461" s="56" t="s">
        <v>1991</v>
      </c>
      <c r="B461" s="56" t="s">
        <v>2558</v>
      </c>
      <c r="C461" s="57" t="s">
        <v>2536</v>
      </c>
      <c r="D461" s="56" t="s">
        <v>7</v>
      </c>
      <c r="E461" s="59" t="s">
        <v>1993</v>
      </c>
      <c r="F461" s="58"/>
    </row>
    <row r="462" ht="15" customHeight="1" spans="1:6">
      <c r="A462" s="56" t="s">
        <v>1991</v>
      </c>
      <c r="B462" s="56" t="s">
        <v>2559</v>
      </c>
      <c r="C462" s="57" t="s">
        <v>2536</v>
      </c>
      <c r="D462" s="56" t="s">
        <v>7</v>
      </c>
      <c r="E462" s="59" t="s">
        <v>1993</v>
      </c>
      <c r="F462" s="58"/>
    </row>
    <row r="463" ht="15" customHeight="1" spans="1:6">
      <c r="A463" s="56" t="s">
        <v>1991</v>
      </c>
      <c r="B463" s="56" t="s">
        <v>2560</v>
      </c>
      <c r="C463" s="57" t="s">
        <v>2536</v>
      </c>
      <c r="D463" s="56" t="s">
        <v>7</v>
      </c>
      <c r="E463" s="59" t="s">
        <v>1993</v>
      </c>
      <c r="F463" s="58"/>
    </row>
    <row r="464" ht="15" customHeight="1" spans="1:6">
      <c r="A464" s="56" t="s">
        <v>1991</v>
      </c>
      <c r="B464" s="56" t="s">
        <v>2561</v>
      </c>
      <c r="C464" s="57" t="s">
        <v>2536</v>
      </c>
      <c r="D464" s="56" t="s">
        <v>7</v>
      </c>
      <c r="E464" s="59" t="s">
        <v>1993</v>
      </c>
      <c r="F464" s="58"/>
    </row>
    <row r="465" ht="15" customHeight="1" spans="1:6">
      <c r="A465" s="56" t="s">
        <v>1991</v>
      </c>
      <c r="B465" s="56" t="s">
        <v>2562</v>
      </c>
      <c r="C465" s="57" t="s">
        <v>2536</v>
      </c>
      <c r="D465" s="56" t="s">
        <v>7</v>
      </c>
      <c r="E465" s="59" t="s">
        <v>1993</v>
      </c>
      <c r="F465" s="58"/>
    </row>
    <row r="466" ht="15" customHeight="1" spans="1:6">
      <c r="A466" s="56" t="s">
        <v>1991</v>
      </c>
      <c r="B466" s="56" t="s">
        <v>2563</v>
      </c>
      <c r="C466" s="57" t="s">
        <v>2536</v>
      </c>
      <c r="D466" s="56" t="s">
        <v>7</v>
      </c>
      <c r="E466" s="59" t="s">
        <v>1993</v>
      </c>
      <c r="F466" s="58"/>
    </row>
    <row r="467" ht="15" customHeight="1" spans="1:6">
      <c r="A467" s="56" t="s">
        <v>1991</v>
      </c>
      <c r="B467" s="56" t="s">
        <v>2564</v>
      </c>
      <c r="C467" s="57" t="s">
        <v>2536</v>
      </c>
      <c r="D467" s="56" t="s">
        <v>7</v>
      </c>
      <c r="E467" s="59" t="s">
        <v>1993</v>
      </c>
      <c r="F467" s="58"/>
    </row>
    <row r="468" ht="15" customHeight="1" spans="1:6">
      <c r="A468" s="56" t="s">
        <v>1991</v>
      </c>
      <c r="B468" s="56" t="s">
        <v>2565</v>
      </c>
      <c r="C468" s="57" t="s">
        <v>2536</v>
      </c>
      <c r="D468" s="56" t="s">
        <v>7</v>
      </c>
      <c r="E468" s="59" t="s">
        <v>1993</v>
      </c>
      <c r="F468" s="58"/>
    </row>
    <row r="469" ht="15" customHeight="1" spans="1:6">
      <c r="A469" s="56" t="s">
        <v>1991</v>
      </c>
      <c r="B469" s="56" t="s">
        <v>2566</v>
      </c>
      <c r="C469" s="57" t="s">
        <v>2536</v>
      </c>
      <c r="D469" s="56" t="s">
        <v>7</v>
      </c>
      <c r="E469" s="59" t="s">
        <v>1993</v>
      </c>
      <c r="F469" s="58"/>
    </row>
    <row r="470" ht="15" customHeight="1" spans="1:6">
      <c r="A470" s="56" t="s">
        <v>1991</v>
      </c>
      <c r="B470" s="56" t="s">
        <v>2567</v>
      </c>
      <c r="C470" s="57" t="s">
        <v>2536</v>
      </c>
      <c r="D470" s="56" t="s">
        <v>7</v>
      </c>
      <c r="E470" s="59" t="s">
        <v>1993</v>
      </c>
      <c r="F470" s="58"/>
    </row>
    <row r="471" ht="15" customHeight="1" spans="1:6">
      <c r="A471" s="56" t="s">
        <v>1991</v>
      </c>
      <c r="B471" s="56" t="s">
        <v>2568</v>
      </c>
      <c r="C471" s="57" t="s">
        <v>2536</v>
      </c>
      <c r="D471" s="56" t="s">
        <v>7</v>
      </c>
      <c r="E471" s="59" t="s">
        <v>1993</v>
      </c>
      <c r="F471" s="58"/>
    </row>
    <row r="472" ht="15" customHeight="1" spans="1:6">
      <c r="A472" s="56" t="s">
        <v>1991</v>
      </c>
      <c r="B472" s="56" t="s">
        <v>2569</v>
      </c>
      <c r="C472" s="57" t="s">
        <v>2536</v>
      </c>
      <c r="D472" s="56" t="s">
        <v>7</v>
      </c>
      <c r="E472" s="59" t="s">
        <v>1993</v>
      </c>
      <c r="F472" s="58"/>
    </row>
    <row r="473" ht="15" customHeight="1" spans="1:6">
      <c r="A473" s="56" t="s">
        <v>1991</v>
      </c>
      <c r="B473" s="56" t="s">
        <v>2570</v>
      </c>
      <c r="C473" s="57" t="s">
        <v>2536</v>
      </c>
      <c r="D473" s="56" t="s">
        <v>7</v>
      </c>
      <c r="E473" s="59" t="s">
        <v>1993</v>
      </c>
      <c r="F473" s="58"/>
    </row>
    <row r="474" ht="15" customHeight="1" spans="1:6">
      <c r="A474" s="56" t="s">
        <v>1991</v>
      </c>
      <c r="B474" s="56" t="s">
        <v>2571</v>
      </c>
      <c r="C474" s="57" t="s">
        <v>2536</v>
      </c>
      <c r="D474" s="56" t="s">
        <v>7</v>
      </c>
      <c r="E474" s="59" t="s">
        <v>1993</v>
      </c>
      <c r="F474" s="58"/>
    </row>
    <row r="475" ht="15" customHeight="1" spans="1:6">
      <c r="A475" s="56" t="s">
        <v>1991</v>
      </c>
      <c r="B475" s="56" t="s">
        <v>2572</v>
      </c>
      <c r="C475" s="57" t="s">
        <v>2536</v>
      </c>
      <c r="D475" s="56" t="s">
        <v>7</v>
      </c>
      <c r="E475" s="59" t="s">
        <v>1993</v>
      </c>
      <c r="F475" s="58"/>
    </row>
    <row r="476" ht="15" customHeight="1" spans="1:6">
      <c r="A476" s="56" t="s">
        <v>1991</v>
      </c>
      <c r="B476" s="56" t="s">
        <v>2573</v>
      </c>
      <c r="C476" s="57" t="s">
        <v>2536</v>
      </c>
      <c r="D476" s="56" t="s">
        <v>7</v>
      </c>
      <c r="E476" s="59" t="s">
        <v>1993</v>
      </c>
      <c r="F476" s="58"/>
    </row>
    <row r="477" ht="15" customHeight="1" spans="1:6">
      <c r="A477" s="56" t="s">
        <v>1991</v>
      </c>
      <c r="B477" s="56" t="s">
        <v>2574</v>
      </c>
      <c r="C477" s="57" t="s">
        <v>2063</v>
      </c>
      <c r="D477" s="56" t="s">
        <v>7</v>
      </c>
      <c r="E477" s="59" t="s">
        <v>1993</v>
      </c>
      <c r="F477" s="58"/>
    </row>
    <row r="478" ht="15" customHeight="1" spans="1:6">
      <c r="A478" s="56" t="s">
        <v>1991</v>
      </c>
      <c r="B478" s="56" t="s">
        <v>2575</v>
      </c>
      <c r="C478" s="57" t="s">
        <v>2063</v>
      </c>
      <c r="D478" s="56" t="s">
        <v>7</v>
      </c>
      <c r="E478" s="59" t="s">
        <v>1993</v>
      </c>
      <c r="F478" s="58"/>
    </row>
    <row r="479" ht="15" customHeight="1" spans="1:6">
      <c r="A479" s="56" t="s">
        <v>1991</v>
      </c>
      <c r="B479" s="56" t="s">
        <v>2576</v>
      </c>
      <c r="C479" s="57" t="s">
        <v>2577</v>
      </c>
      <c r="D479" s="56" t="s">
        <v>7</v>
      </c>
      <c r="E479" s="59" t="s">
        <v>1993</v>
      </c>
      <c r="F479" s="58"/>
    </row>
    <row r="480" ht="15" customHeight="1" spans="1:6">
      <c r="A480" s="56" t="s">
        <v>1991</v>
      </c>
      <c r="B480" s="56" t="s">
        <v>2578</v>
      </c>
      <c r="C480" s="57" t="s">
        <v>96</v>
      </c>
      <c r="D480" s="56" t="s">
        <v>7</v>
      </c>
      <c r="E480" s="59" t="s">
        <v>1993</v>
      </c>
      <c r="F480" s="58"/>
    </row>
    <row r="481" ht="15" customHeight="1" spans="1:6">
      <c r="A481" s="56" t="s">
        <v>1991</v>
      </c>
      <c r="B481" s="56" t="s">
        <v>2579</v>
      </c>
      <c r="C481" s="57" t="s">
        <v>2580</v>
      </c>
      <c r="D481" s="56" t="s">
        <v>7</v>
      </c>
      <c r="E481" s="59" t="s">
        <v>1993</v>
      </c>
      <c r="F481" s="58"/>
    </row>
    <row r="482" ht="15" customHeight="1" spans="1:6">
      <c r="A482" s="56" t="s">
        <v>1991</v>
      </c>
      <c r="B482" s="56" t="s">
        <v>2581</v>
      </c>
      <c r="C482" s="57" t="s">
        <v>2580</v>
      </c>
      <c r="D482" s="56" t="s">
        <v>7</v>
      </c>
      <c r="E482" s="59" t="s">
        <v>1993</v>
      </c>
      <c r="F482" s="58"/>
    </row>
    <row r="483" ht="15" customHeight="1" spans="1:6">
      <c r="A483" s="56" t="s">
        <v>1991</v>
      </c>
      <c r="B483" s="56" t="s">
        <v>2582</v>
      </c>
      <c r="C483" s="57" t="s">
        <v>2583</v>
      </c>
      <c r="D483" s="56" t="s">
        <v>7</v>
      </c>
      <c r="E483" s="59" t="s">
        <v>1993</v>
      </c>
      <c r="F483" s="58"/>
    </row>
    <row r="484" ht="15" customHeight="1" spans="1:6">
      <c r="A484" s="56" t="s">
        <v>1991</v>
      </c>
      <c r="B484" s="56" t="s">
        <v>2584</v>
      </c>
      <c r="C484" s="57" t="s">
        <v>2583</v>
      </c>
      <c r="D484" s="56" t="s">
        <v>7</v>
      </c>
      <c r="E484" s="59" t="s">
        <v>1993</v>
      </c>
      <c r="F484" s="58"/>
    </row>
    <row r="485" ht="15" customHeight="1" spans="1:6">
      <c r="A485" s="56" t="s">
        <v>1991</v>
      </c>
      <c r="B485" s="56" t="s">
        <v>2585</v>
      </c>
      <c r="C485" s="57" t="s">
        <v>49</v>
      </c>
      <c r="D485" s="56" t="s">
        <v>7</v>
      </c>
      <c r="E485" s="59" t="s">
        <v>1993</v>
      </c>
      <c r="F485" s="58"/>
    </row>
    <row r="486" ht="15" customHeight="1" spans="1:6">
      <c r="A486" s="56" t="s">
        <v>1991</v>
      </c>
      <c r="B486" s="56" t="s">
        <v>2586</v>
      </c>
      <c r="C486" s="57" t="s">
        <v>2587</v>
      </c>
      <c r="D486" s="56" t="s">
        <v>7</v>
      </c>
      <c r="E486" s="59" t="s">
        <v>1993</v>
      </c>
      <c r="F486" s="58"/>
    </row>
    <row r="487" ht="15" customHeight="1" spans="1:6">
      <c r="A487" s="56" t="s">
        <v>1991</v>
      </c>
      <c r="B487" s="56" t="s">
        <v>2588</v>
      </c>
      <c r="C487" s="57" t="s">
        <v>2589</v>
      </c>
      <c r="D487" s="56" t="s">
        <v>7</v>
      </c>
      <c r="E487" s="59" t="s">
        <v>1993</v>
      </c>
      <c r="F487" s="58"/>
    </row>
    <row r="488" ht="15" customHeight="1" spans="1:6">
      <c r="A488" s="56" t="s">
        <v>1991</v>
      </c>
      <c r="B488" s="56" t="s">
        <v>2590</v>
      </c>
      <c r="C488" s="57" t="s">
        <v>914</v>
      </c>
      <c r="D488" s="56" t="s">
        <v>7</v>
      </c>
      <c r="E488" s="59" t="s">
        <v>1993</v>
      </c>
      <c r="F488" s="58"/>
    </row>
    <row r="489" ht="15" customHeight="1" spans="1:6">
      <c r="A489" s="56" t="s">
        <v>1991</v>
      </c>
      <c r="B489" s="56" t="s">
        <v>2591</v>
      </c>
      <c r="C489" s="57" t="s">
        <v>2592</v>
      </c>
      <c r="D489" s="56" t="s">
        <v>7</v>
      </c>
      <c r="E489" s="59" t="s">
        <v>1993</v>
      </c>
      <c r="F489" s="58"/>
    </row>
    <row r="490" ht="15" customHeight="1" spans="1:6">
      <c r="A490" s="56" t="s">
        <v>1991</v>
      </c>
      <c r="B490" s="56" t="s">
        <v>2593</v>
      </c>
      <c r="C490" s="57" t="s">
        <v>2594</v>
      </c>
      <c r="D490" s="56" t="s">
        <v>7</v>
      </c>
      <c r="E490" s="59" t="s">
        <v>1993</v>
      </c>
      <c r="F490" s="58"/>
    </row>
    <row r="491" ht="15" customHeight="1" spans="1:6">
      <c r="A491" s="56" t="s">
        <v>1991</v>
      </c>
      <c r="B491" s="56" t="s">
        <v>2595</v>
      </c>
      <c r="C491" s="57" t="s">
        <v>2139</v>
      </c>
      <c r="D491" s="56" t="s">
        <v>7</v>
      </c>
      <c r="E491" s="59" t="s">
        <v>1993</v>
      </c>
      <c r="F491" s="58"/>
    </row>
    <row r="492" ht="15" customHeight="1" spans="1:6">
      <c r="A492" s="56" t="s">
        <v>1991</v>
      </c>
      <c r="B492" s="56" t="s">
        <v>2596</v>
      </c>
      <c r="C492" s="57" t="s">
        <v>2536</v>
      </c>
      <c r="D492" s="56" t="s">
        <v>7</v>
      </c>
      <c r="E492" s="59" t="s">
        <v>1993</v>
      </c>
      <c r="F492" s="58"/>
    </row>
    <row r="493" ht="15" customHeight="1" spans="1:6">
      <c r="A493" s="56" t="s">
        <v>1991</v>
      </c>
      <c r="B493" s="56" t="s">
        <v>2597</v>
      </c>
      <c r="C493" s="57" t="s">
        <v>2536</v>
      </c>
      <c r="D493" s="56" t="s">
        <v>7</v>
      </c>
      <c r="E493" s="59" t="s">
        <v>1993</v>
      </c>
      <c r="F493" s="58"/>
    </row>
    <row r="494" ht="15" customHeight="1" spans="1:6">
      <c r="A494" s="56" t="s">
        <v>1991</v>
      </c>
      <c r="B494" s="56" t="s">
        <v>2598</v>
      </c>
      <c r="C494" s="57" t="s">
        <v>2536</v>
      </c>
      <c r="D494" s="56" t="s">
        <v>7</v>
      </c>
      <c r="E494" s="59" t="s">
        <v>1993</v>
      </c>
      <c r="F494" s="58"/>
    </row>
    <row r="495" ht="15" customHeight="1" spans="1:6">
      <c r="A495" s="56" t="s">
        <v>1991</v>
      </c>
      <c r="B495" s="56" t="s">
        <v>2599</v>
      </c>
      <c r="C495" s="57" t="s">
        <v>2536</v>
      </c>
      <c r="D495" s="56" t="s">
        <v>7</v>
      </c>
      <c r="E495" s="59" t="s">
        <v>1993</v>
      </c>
      <c r="F495" s="58"/>
    </row>
    <row r="496" ht="15" customHeight="1" spans="1:6">
      <c r="A496" s="56" t="s">
        <v>1991</v>
      </c>
      <c r="B496" s="56" t="s">
        <v>2600</v>
      </c>
      <c r="C496" s="57" t="s">
        <v>2536</v>
      </c>
      <c r="D496" s="56" t="s">
        <v>7</v>
      </c>
      <c r="E496" s="59" t="s">
        <v>1993</v>
      </c>
      <c r="F496" s="58"/>
    </row>
    <row r="497" ht="15" customHeight="1" spans="1:6">
      <c r="A497" s="56" t="s">
        <v>1991</v>
      </c>
      <c r="B497" s="56" t="s">
        <v>2601</v>
      </c>
      <c r="C497" s="57" t="s">
        <v>2536</v>
      </c>
      <c r="D497" s="56" t="s">
        <v>7</v>
      </c>
      <c r="E497" s="59" t="s">
        <v>1993</v>
      </c>
      <c r="F497" s="58"/>
    </row>
    <row r="498" ht="15" customHeight="1" spans="1:6">
      <c r="A498" s="56" t="s">
        <v>1991</v>
      </c>
      <c r="B498" s="56" t="s">
        <v>2602</v>
      </c>
      <c r="C498" s="57" t="s">
        <v>2603</v>
      </c>
      <c r="D498" s="56" t="s">
        <v>7</v>
      </c>
      <c r="E498" s="59" t="s">
        <v>1993</v>
      </c>
      <c r="F498" s="58"/>
    </row>
    <row r="499" ht="15" customHeight="1" spans="1:6">
      <c r="A499" s="56" t="s">
        <v>1991</v>
      </c>
      <c r="B499" s="56" t="s">
        <v>2604</v>
      </c>
      <c r="C499" s="57" t="s">
        <v>2583</v>
      </c>
      <c r="D499" s="56" t="s">
        <v>7</v>
      </c>
      <c r="E499" s="59" t="s">
        <v>1993</v>
      </c>
      <c r="F499" s="58"/>
    </row>
    <row r="500" ht="15" customHeight="1" spans="1:6">
      <c r="A500" s="56" t="s">
        <v>1991</v>
      </c>
      <c r="B500" s="56" t="s">
        <v>2605</v>
      </c>
      <c r="C500" s="57" t="s">
        <v>2606</v>
      </c>
      <c r="D500" s="56" t="s">
        <v>7</v>
      </c>
      <c r="E500" s="59" t="s">
        <v>1993</v>
      </c>
      <c r="F500" s="58"/>
    </row>
    <row r="501" ht="15" customHeight="1" spans="1:6">
      <c r="A501" s="56" t="s">
        <v>1991</v>
      </c>
      <c r="B501" s="56" t="s">
        <v>2607</v>
      </c>
      <c r="C501" s="57" t="s">
        <v>2608</v>
      </c>
      <c r="D501" s="56" t="s">
        <v>7</v>
      </c>
      <c r="E501" s="59" t="s">
        <v>1993</v>
      </c>
      <c r="F501" s="58"/>
    </row>
    <row r="502" ht="15" customHeight="1" spans="1:6">
      <c r="A502" s="56" t="s">
        <v>1991</v>
      </c>
      <c r="B502" s="56" t="s">
        <v>2609</v>
      </c>
      <c r="C502" s="57" t="s">
        <v>2610</v>
      </c>
      <c r="D502" s="56" t="s">
        <v>7</v>
      </c>
      <c r="E502" s="59" t="s">
        <v>1993</v>
      </c>
      <c r="F502" s="58"/>
    </row>
    <row r="503" ht="15" customHeight="1" spans="1:6">
      <c r="A503" s="56" t="s">
        <v>1991</v>
      </c>
      <c r="B503" s="56" t="s">
        <v>2611</v>
      </c>
      <c r="C503" s="57" t="s">
        <v>2610</v>
      </c>
      <c r="D503" s="56" t="s">
        <v>7</v>
      </c>
      <c r="E503" s="59" t="s">
        <v>1993</v>
      </c>
      <c r="F503" s="58"/>
    </row>
    <row r="504" ht="15" customHeight="1" spans="1:6">
      <c r="A504" s="56" t="s">
        <v>1991</v>
      </c>
      <c r="B504" s="56" t="s">
        <v>2612</v>
      </c>
      <c r="C504" s="57" t="s">
        <v>2610</v>
      </c>
      <c r="D504" s="56" t="s">
        <v>7</v>
      </c>
      <c r="E504" s="59" t="s">
        <v>1993</v>
      </c>
      <c r="F504" s="58"/>
    </row>
    <row r="505" ht="15" customHeight="1" spans="1:6">
      <c r="A505" s="56" t="s">
        <v>1991</v>
      </c>
      <c r="B505" s="56" t="s">
        <v>2613</v>
      </c>
      <c r="C505" s="57" t="s">
        <v>2610</v>
      </c>
      <c r="D505" s="56" t="s">
        <v>7</v>
      </c>
      <c r="E505" s="59" t="s">
        <v>1993</v>
      </c>
      <c r="F505" s="58"/>
    </row>
    <row r="506" ht="15" customHeight="1" spans="1:6">
      <c r="A506" s="56" t="s">
        <v>1991</v>
      </c>
      <c r="B506" s="56" t="s">
        <v>2614</v>
      </c>
      <c r="C506" s="57" t="s">
        <v>220</v>
      </c>
      <c r="D506" s="56" t="s">
        <v>7</v>
      </c>
      <c r="E506" s="59" t="s">
        <v>1993</v>
      </c>
      <c r="F506" s="58"/>
    </row>
    <row r="507" ht="15" customHeight="1" spans="1:6">
      <c r="A507" s="56" t="s">
        <v>1991</v>
      </c>
      <c r="B507" s="56" t="s">
        <v>2615</v>
      </c>
      <c r="C507" s="57" t="s">
        <v>220</v>
      </c>
      <c r="D507" s="56" t="s">
        <v>7</v>
      </c>
      <c r="E507" s="59" t="s">
        <v>1993</v>
      </c>
      <c r="F507" s="58"/>
    </row>
    <row r="508" ht="15" customHeight="1" spans="1:6">
      <c r="A508" s="56" t="s">
        <v>1991</v>
      </c>
      <c r="B508" s="56" t="s">
        <v>2616</v>
      </c>
      <c r="C508" s="57" t="s">
        <v>220</v>
      </c>
      <c r="D508" s="56" t="s">
        <v>7</v>
      </c>
      <c r="E508" s="59" t="s">
        <v>1993</v>
      </c>
      <c r="F508" s="58"/>
    </row>
    <row r="509" ht="15" customHeight="1" spans="1:6">
      <c r="A509" s="56" t="s">
        <v>1991</v>
      </c>
      <c r="B509" s="56" t="s">
        <v>2617</v>
      </c>
      <c r="C509" s="57" t="s">
        <v>220</v>
      </c>
      <c r="D509" s="56" t="s">
        <v>7</v>
      </c>
      <c r="E509" s="59" t="s">
        <v>1993</v>
      </c>
      <c r="F509" s="58"/>
    </row>
    <row r="510" ht="15" customHeight="1" spans="1:6">
      <c r="A510" s="56" t="s">
        <v>1991</v>
      </c>
      <c r="B510" s="56" t="s">
        <v>2618</v>
      </c>
      <c r="C510" s="57" t="s">
        <v>220</v>
      </c>
      <c r="D510" s="56" t="s">
        <v>7</v>
      </c>
      <c r="E510" s="59" t="s">
        <v>1993</v>
      </c>
      <c r="F510" s="58"/>
    </row>
    <row r="511" ht="15" customHeight="1" spans="1:6">
      <c r="A511" s="56" t="s">
        <v>1991</v>
      </c>
      <c r="B511" s="56" t="s">
        <v>2619</v>
      </c>
      <c r="C511" s="57" t="s">
        <v>220</v>
      </c>
      <c r="D511" s="56" t="s">
        <v>7</v>
      </c>
      <c r="E511" s="59" t="s">
        <v>1993</v>
      </c>
      <c r="F511" s="58"/>
    </row>
    <row r="512" ht="15" customHeight="1" spans="1:6">
      <c r="A512" s="56" t="s">
        <v>1991</v>
      </c>
      <c r="B512" s="56" t="s">
        <v>2620</v>
      </c>
      <c r="C512" s="57" t="s">
        <v>100</v>
      </c>
      <c r="D512" s="56" t="s">
        <v>7</v>
      </c>
      <c r="E512" s="59" t="s">
        <v>1993</v>
      </c>
      <c r="F512" s="58"/>
    </row>
    <row r="513" ht="15" customHeight="1" spans="1:6">
      <c r="A513" s="56" t="s">
        <v>1991</v>
      </c>
      <c r="B513" s="56" t="s">
        <v>2621</v>
      </c>
      <c r="C513" s="57" t="s">
        <v>100</v>
      </c>
      <c r="D513" s="56" t="s">
        <v>7</v>
      </c>
      <c r="E513" s="59" t="s">
        <v>1993</v>
      </c>
      <c r="F513" s="58"/>
    </row>
    <row r="514" ht="15" customHeight="1" spans="1:6">
      <c r="A514" s="56" t="s">
        <v>1991</v>
      </c>
      <c r="B514" s="56" t="s">
        <v>2622</v>
      </c>
      <c r="C514" s="57" t="s">
        <v>100</v>
      </c>
      <c r="D514" s="56" t="s">
        <v>7</v>
      </c>
      <c r="E514" s="59" t="s">
        <v>1993</v>
      </c>
      <c r="F514" s="58"/>
    </row>
    <row r="515" ht="15" customHeight="1" spans="1:6">
      <c r="A515" s="56" t="s">
        <v>1991</v>
      </c>
      <c r="B515" s="56" t="s">
        <v>2623</v>
      </c>
      <c r="C515" s="57" t="s">
        <v>100</v>
      </c>
      <c r="D515" s="56" t="s">
        <v>7</v>
      </c>
      <c r="E515" s="59" t="s">
        <v>1993</v>
      </c>
      <c r="F515" s="58"/>
    </row>
    <row r="516" ht="15" customHeight="1" spans="1:6">
      <c r="A516" s="56" t="s">
        <v>1991</v>
      </c>
      <c r="B516" s="56" t="s">
        <v>2624</v>
      </c>
      <c r="C516" s="57" t="s">
        <v>100</v>
      </c>
      <c r="D516" s="56" t="s">
        <v>7</v>
      </c>
      <c r="E516" s="59" t="s">
        <v>1993</v>
      </c>
      <c r="F516" s="58"/>
    </row>
    <row r="517" ht="15" customHeight="1" spans="1:6">
      <c r="A517" s="56" t="s">
        <v>1991</v>
      </c>
      <c r="B517" s="56" t="s">
        <v>2625</v>
      </c>
      <c r="C517" s="57" t="s">
        <v>100</v>
      </c>
      <c r="D517" s="56" t="s">
        <v>7</v>
      </c>
      <c r="E517" s="59" t="s">
        <v>1993</v>
      </c>
      <c r="F517" s="58"/>
    </row>
    <row r="518" ht="15" customHeight="1" spans="1:6">
      <c r="A518" s="56" t="s">
        <v>1991</v>
      </c>
      <c r="B518" s="56" t="s">
        <v>2626</v>
      </c>
      <c r="C518" s="57" t="s">
        <v>96</v>
      </c>
      <c r="D518" s="56" t="s">
        <v>7</v>
      </c>
      <c r="E518" s="59" t="s">
        <v>1993</v>
      </c>
      <c r="F518" s="58"/>
    </row>
    <row r="519" ht="15" customHeight="1" spans="1:6">
      <c r="A519" s="56" t="s">
        <v>1991</v>
      </c>
      <c r="B519" s="56" t="s">
        <v>2627</v>
      </c>
      <c r="C519" s="57" t="s">
        <v>96</v>
      </c>
      <c r="D519" s="56" t="s">
        <v>7</v>
      </c>
      <c r="E519" s="59" t="s">
        <v>1993</v>
      </c>
      <c r="F519" s="58"/>
    </row>
    <row r="520" ht="15" customHeight="1" spans="1:6">
      <c r="A520" s="56" t="s">
        <v>1991</v>
      </c>
      <c r="B520" s="56" t="s">
        <v>2628</v>
      </c>
      <c r="C520" s="57" t="s">
        <v>96</v>
      </c>
      <c r="D520" s="56" t="s">
        <v>7</v>
      </c>
      <c r="E520" s="59" t="s">
        <v>1993</v>
      </c>
      <c r="F520" s="58"/>
    </row>
    <row r="521" ht="15" customHeight="1" spans="1:6">
      <c r="A521" s="56" t="s">
        <v>1991</v>
      </c>
      <c r="B521" s="56" t="s">
        <v>2629</v>
      </c>
      <c r="C521" s="57" t="s">
        <v>2630</v>
      </c>
      <c r="D521" s="56" t="s">
        <v>7</v>
      </c>
      <c r="E521" s="59" t="s">
        <v>1993</v>
      </c>
      <c r="F521" s="58"/>
    </row>
    <row r="522" ht="15" customHeight="1" spans="1:6">
      <c r="A522" s="56" t="s">
        <v>1991</v>
      </c>
      <c r="B522" s="56" t="s">
        <v>2631</v>
      </c>
      <c r="C522" s="57" t="s">
        <v>2630</v>
      </c>
      <c r="D522" s="56" t="s">
        <v>7</v>
      </c>
      <c r="E522" s="59" t="s">
        <v>1993</v>
      </c>
      <c r="F522" s="58"/>
    </row>
    <row r="523" ht="15" customHeight="1" spans="1:6">
      <c r="A523" s="56" t="s">
        <v>1991</v>
      </c>
      <c r="B523" s="56" t="s">
        <v>2632</v>
      </c>
      <c r="C523" s="57" t="s">
        <v>2630</v>
      </c>
      <c r="D523" s="56" t="s">
        <v>7</v>
      </c>
      <c r="E523" s="59" t="s">
        <v>1993</v>
      </c>
      <c r="F523" s="58"/>
    </row>
    <row r="524" ht="15" customHeight="1" spans="1:6">
      <c r="A524" s="56" t="s">
        <v>1991</v>
      </c>
      <c r="B524" s="56" t="s">
        <v>2633</v>
      </c>
      <c r="C524" s="57" t="s">
        <v>2630</v>
      </c>
      <c r="D524" s="56" t="s">
        <v>7</v>
      </c>
      <c r="E524" s="59" t="s">
        <v>1993</v>
      </c>
      <c r="F524" s="58"/>
    </row>
    <row r="525" ht="15" customHeight="1" spans="1:6">
      <c r="A525" s="56" t="s">
        <v>1991</v>
      </c>
      <c r="B525" s="56" t="s">
        <v>2634</v>
      </c>
      <c r="C525" s="57" t="s">
        <v>2630</v>
      </c>
      <c r="D525" s="56" t="s">
        <v>7</v>
      </c>
      <c r="E525" s="59" t="s">
        <v>1993</v>
      </c>
      <c r="F525" s="58"/>
    </row>
    <row r="526" ht="15" customHeight="1" spans="1:6">
      <c r="A526" s="56" t="s">
        <v>1991</v>
      </c>
      <c r="B526" s="56" t="s">
        <v>2635</v>
      </c>
      <c r="C526" s="57" t="s">
        <v>2636</v>
      </c>
      <c r="D526" s="56" t="s">
        <v>7</v>
      </c>
      <c r="E526" s="59" t="s">
        <v>1993</v>
      </c>
      <c r="F526" s="58"/>
    </row>
    <row r="527" ht="15" customHeight="1" spans="1:6">
      <c r="A527" s="56" t="s">
        <v>1991</v>
      </c>
      <c r="B527" s="56" t="s">
        <v>2637</v>
      </c>
      <c r="C527" s="57" t="s">
        <v>2638</v>
      </c>
      <c r="D527" s="56" t="s">
        <v>7</v>
      </c>
      <c r="E527" s="59" t="s">
        <v>1993</v>
      </c>
      <c r="F527" s="58"/>
    </row>
    <row r="528" ht="15" customHeight="1" spans="1:6">
      <c r="A528" s="56" t="s">
        <v>1991</v>
      </c>
      <c r="B528" s="56" t="s">
        <v>2639</v>
      </c>
      <c r="C528" s="57" t="s">
        <v>1669</v>
      </c>
      <c r="D528" s="56" t="s">
        <v>7</v>
      </c>
      <c r="E528" s="59" t="s">
        <v>1993</v>
      </c>
      <c r="F528" s="58"/>
    </row>
    <row r="529" ht="15" customHeight="1" spans="1:6">
      <c r="A529" s="56" t="s">
        <v>1991</v>
      </c>
      <c r="B529" s="56" t="s">
        <v>2640</v>
      </c>
      <c r="C529" s="57" t="s">
        <v>1669</v>
      </c>
      <c r="D529" s="56" t="s">
        <v>7</v>
      </c>
      <c r="E529" s="59" t="s">
        <v>1993</v>
      </c>
      <c r="F529" s="58"/>
    </row>
    <row r="530" ht="15" customHeight="1" spans="1:6">
      <c r="A530" s="56" t="s">
        <v>1991</v>
      </c>
      <c r="B530" s="56" t="s">
        <v>2641</v>
      </c>
      <c r="C530" s="57" t="s">
        <v>1669</v>
      </c>
      <c r="D530" s="56" t="s">
        <v>7</v>
      </c>
      <c r="E530" s="59" t="s">
        <v>1993</v>
      </c>
      <c r="F530" s="58"/>
    </row>
    <row r="531" ht="15" customHeight="1" spans="1:6">
      <c r="A531" s="56" t="s">
        <v>1991</v>
      </c>
      <c r="B531" s="56" t="s">
        <v>2642</v>
      </c>
      <c r="C531" s="57" t="s">
        <v>1669</v>
      </c>
      <c r="D531" s="56" t="s">
        <v>7</v>
      </c>
      <c r="E531" s="59" t="s">
        <v>1993</v>
      </c>
      <c r="F531" s="58"/>
    </row>
    <row r="532" ht="15" customHeight="1" spans="1:6">
      <c r="A532" s="56" t="s">
        <v>1991</v>
      </c>
      <c r="B532" s="56" t="s">
        <v>2643</v>
      </c>
      <c r="C532" s="57" t="s">
        <v>1669</v>
      </c>
      <c r="D532" s="56" t="s">
        <v>7</v>
      </c>
      <c r="E532" s="59" t="s">
        <v>1993</v>
      </c>
      <c r="F532" s="58"/>
    </row>
    <row r="533" ht="15" customHeight="1" spans="1:6">
      <c r="A533" s="56" t="s">
        <v>1991</v>
      </c>
      <c r="B533" s="56" t="s">
        <v>2644</v>
      </c>
      <c r="C533" s="57" t="s">
        <v>1669</v>
      </c>
      <c r="D533" s="56" t="s">
        <v>7</v>
      </c>
      <c r="E533" s="59" t="s">
        <v>1993</v>
      </c>
      <c r="F533" s="58"/>
    </row>
    <row r="534" ht="15" customHeight="1" spans="1:6">
      <c r="A534" s="56" t="s">
        <v>1991</v>
      </c>
      <c r="B534" s="56" t="s">
        <v>2645</v>
      </c>
      <c r="C534" s="57" t="s">
        <v>1669</v>
      </c>
      <c r="D534" s="56" t="s">
        <v>7</v>
      </c>
      <c r="E534" s="59" t="s">
        <v>1993</v>
      </c>
      <c r="F534" s="58"/>
    </row>
    <row r="535" ht="15" customHeight="1" spans="1:6">
      <c r="A535" s="56" t="s">
        <v>1991</v>
      </c>
      <c r="B535" s="56" t="s">
        <v>2646</v>
      </c>
      <c r="C535" s="57" t="s">
        <v>1669</v>
      </c>
      <c r="D535" s="56" t="s">
        <v>7</v>
      </c>
      <c r="E535" s="59" t="s">
        <v>1993</v>
      </c>
      <c r="F535" s="58"/>
    </row>
    <row r="536" ht="15" customHeight="1" spans="1:6">
      <c r="A536" s="56" t="s">
        <v>1991</v>
      </c>
      <c r="B536" s="56" t="s">
        <v>2647</v>
      </c>
      <c r="C536" s="57" t="s">
        <v>1669</v>
      </c>
      <c r="D536" s="56" t="s">
        <v>7</v>
      </c>
      <c r="E536" s="59" t="s">
        <v>1993</v>
      </c>
      <c r="F536" s="58"/>
    </row>
    <row r="537" ht="15" customHeight="1" spans="1:6">
      <c r="A537" s="56" t="s">
        <v>1991</v>
      </c>
      <c r="B537" s="56" t="s">
        <v>2648</v>
      </c>
      <c r="C537" s="57" t="s">
        <v>1669</v>
      </c>
      <c r="D537" s="56" t="s">
        <v>7</v>
      </c>
      <c r="E537" s="59" t="s">
        <v>1993</v>
      </c>
      <c r="F537" s="58"/>
    </row>
    <row r="538" ht="15" customHeight="1" spans="1:6">
      <c r="A538" s="56" t="s">
        <v>1991</v>
      </c>
      <c r="B538" s="56" t="s">
        <v>2649</v>
      </c>
      <c r="C538" s="57" t="s">
        <v>2650</v>
      </c>
      <c r="D538" s="56" t="s">
        <v>7</v>
      </c>
      <c r="E538" s="59" t="s">
        <v>1993</v>
      </c>
      <c r="F538" s="58"/>
    </row>
    <row r="539" ht="15" customHeight="1" spans="1:6">
      <c r="A539" s="56" t="s">
        <v>1991</v>
      </c>
      <c r="B539" s="56" t="s">
        <v>2651</v>
      </c>
      <c r="C539" s="57" t="s">
        <v>108</v>
      </c>
      <c r="D539" s="56" t="s">
        <v>7</v>
      </c>
      <c r="E539" s="59" t="s">
        <v>1993</v>
      </c>
      <c r="F539" s="58"/>
    </row>
    <row r="540" ht="15" customHeight="1" spans="1:6">
      <c r="A540" s="56" t="s">
        <v>1991</v>
      </c>
      <c r="B540" s="56" t="s">
        <v>2652</v>
      </c>
      <c r="C540" s="57" t="s">
        <v>2653</v>
      </c>
      <c r="D540" s="56" t="s">
        <v>7</v>
      </c>
      <c r="E540" s="59" t="s">
        <v>1993</v>
      </c>
      <c r="F540" s="58"/>
    </row>
    <row r="541" ht="15" customHeight="1" spans="1:6">
      <c r="A541" s="56" t="s">
        <v>1991</v>
      </c>
      <c r="B541" s="56" t="s">
        <v>2654</v>
      </c>
      <c r="C541" s="57" t="s">
        <v>96</v>
      </c>
      <c r="D541" s="56" t="s">
        <v>7</v>
      </c>
      <c r="E541" s="59" t="s">
        <v>1993</v>
      </c>
      <c r="F541" s="58"/>
    </row>
    <row r="542" ht="15" customHeight="1" spans="1:6">
      <c r="A542" s="56" t="s">
        <v>1991</v>
      </c>
      <c r="B542" s="56" t="s">
        <v>2655</v>
      </c>
      <c r="C542" s="57" t="s">
        <v>96</v>
      </c>
      <c r="D542" s="56" t="s">
        <v>7</v>
      </c>
      <c r="E542" s="59" t="s">
        <v>1993</v>
      </c>
      <c r="F542" s="58"/>
    </row>
    <row r="543" ht="15" customHeight="1" spans="1:6">
      <c r="A543" s="56" t="s">
        <v>1991</v>
      </c>
      <c r="B543" s="56" t="s">
        <v>2656</v>
      </c>
      <c r="C543" s="57" t="s">
        <v>96</v>
      </c>
      <c r="D543" s="56" t="s">
        <v>7</v>
      </c>
      <c r="E543" s="59" t="s">
        <v>1993</v>
      </c>
      <c r="F543" s="58"/>
    </row>
    <row r="544" ht="15" customHeight="1" spans="1:6">
      <c r="A544" s="56" t="s">
        <v>1991</v>
      </c>
      <c r="B544" s="56" t="s">
        <v>2657</v>
      </c>
      <c r="C544" s="57" t="s">
        <v>96</v>
      </c>
      <c r="D544" s="56" t="s">
        <v>7</v>
      </c>
      <c r="E544" s="59" t="s">
        <v>1993</v>
      </c>
      <c r="F544" s="58"/>
    </row>
    <row r="545" ht="15" customHeight="1" spans="1:6">
      <c r="A545" s="56" t="s">
        <v>1991</v>
      </c>
      <c r="B545" s="56" t="s">
        <v>2658</v>
      </c>
      <c r="C545" s="57" t="s">
        <v>96</v>
      </c>
      <c r="D545" s="56" t="s">
        <v>7</v>
      </c>
      <c r="E545" s="59" t="s">
        <v>1993</v>
      </c>
      <c r="F545" s="58"/>
    </row>
    <row r="546" ht="15" customHeight="1" spans="1:6">
      <c r="A546" s="56" t="s">
        <v>1991</v>
      </c>
      <c r="B546" s="56" t="s">
        <v>2659</v>
      </c>
      <c r="C546" s="57" t="s">
        <v>96</v>
      </c>
      <c r="D546" s="56" t="s">
        <v>7</v>
      </c>
      <c r="E546" s="59" t="s">
        <v>1993</v>
      </c>
      <c r="F546" s="58"/>
    </row>
    <row r="547" ht="15" customHeight="1" spans="1:6">
      <c r="A547" s="56" t="s">
        <v>1991</v>
      </c>
      <c r="B547" s="56" t="s">
        <v>2660</v>
      </c>
      <c r="C547" s="57" t="s">
        <v>96</v>
      </c>
      <c r="D547" s="56" t="s">
        <v>7</v>
      </c>
      <c r="E547" s="59" t="s">
        <v>1993</v>
      </c>
      <c r="F547" s="58"/>
    </row>
    <row r="548" ht="15" customHeight="1" spans="1:6">
      <c r="A548" s="56" t="s">
        <v>1991</v>
      </c>
      <c r="B548" s="56" t="s">
        <v>2661</v>
      </c>
      <c r="C548" s="57" t="s">
        <v>96</v>
      </c>
      <c r="D548" s="56" t="s">
        <v>7</v>
      </c>
      <c r="E548" s="59" t="s">
        <v>1993</v>
      </c>
      <c r="F548" s="58"/>
    </row>
    <row r="549" ht="15" customHeight="1" spans="1:6">
      <c r="A549" s="56" t="s">
        <v>1991</v>
      </c>
      <c r="B549" s="56" t="s">
        <v>2662</v>
      </c>
      <c r="C549" s="57" t="s">
        <v>903</v>
      </c>
      <c r="D549" s="56" t="s">
        <v>7</v>
      </c>
      <c r="E549" s="59" t="s">
        <v>1993</v>
      </c>
      <c r="F549" s="58"/>
    </row>
    <row r="550" ht="15" customHeight="1" spans="1:6">
      <c r="A550" s="56" t="s">
        <v>1991</v>
      </c>
      <c r="B550" s="56" t="s">
        <v>2663</v>
      </c>
      <c r="C550" s="57" t="s">
        <v>96</v>
      </c>
      <c r="D550" s="56" t="s">
        <v>7</v>
      </c>
      <c r="E550" s="59" t="s">
        <v>1993</v>
      </c>
      <c r="F550" s="58"/>
    </row>
    <row r="551" ht="15" customHeight="1" spans="1:6">
      <c r="A551" s="56" t="s">
        <v>1991</v>
      </c>
      <c r="B551" s="56" t="s">
        <v>2664</v>
      </c>
      <c r="C551" s="57" t="s">
        <v>96</v>
      </c>
      <c r="D551" s="56" t="s">
        <v>7</v>
      </c>
      <c r="E551" s="59" t="s">
        <v>1993</v>
      </c>
      <c r="F551" s="58"/>
    </row>
    <row r="552" ht="15" customHeight="1" spans="1:6">
      <c r="A552" s="56" t="s">
        <v>1991</v>
      </c>
      <c r="B552" s="56" t="s">
        <v>2665</v>
      </c>
      <c r="C552" s="57" t="s">
        <v>177</v>
      </c>
      <c r="D552" s="56" t="s">
        <v>7</v>
      </c>
      <c r="E552" s="59" t="s">
        <v>1993</v>
      </c>
      <c r="F552" s="58"/>
    </row>
    <row r="553" ht="15" customHeight="1" spans="1:6">
      <c r="A553" s="56" t="s">
        <v>1991</v>
      </c>
      <c r="B553" s="56" t="s">
        <v>2666</v>
      </c>
      <c r="C553" s="57" t="s">
        <v>177</v>
      </c>
      <c r="D553" s="56" t="s">
        <v>7</v>
      </c>
      <c r="E553" s="59" t="s">
        <v>1993</v>
      </c>
      <c r="F553" s="58"/>
    </row>
    <row r="554" ht="15" customHeight="1" spans="1:6">
      <c r="A554" s="56" t="s">
        <v>1991</v>
      </c>
      <c r="B554" s="56" t="s">
        <v>2667</v>
      </c>
      <c r="C554" s="57" t="s">
        <v>177</v>
      </c>
      <c r="D554" s="56" t="s">
        <v>7</v>
      </c>
      <c r="E554" s="59" t="s">
        <v>1993</v>
      </c>
      <c r="F554" s="58"/>
    </row>
    <row r="555" ht="15" customHeight="1" spans="1:6">
      <c r="A555" s="56" t="s">
        <v>1991</v>
      </c>
      <c r="B555" s="56" t="s">
        <v>2668</v>
      </c>
      <c r="C555" s="57" t="s">
        <v>177</v>
      </c>
      <c r="D555" s="56" t="s">
        <v>7</v>
      </c>
      <c r="E555" s="59" t="s">
        <v>1993</v>
      </c>
      <c r="F555" s="58"/>
    </row>
    <row r="556" ht="15" customHeight="1" spans="1:6">
      <c r="A556" s="56" t="s">
        <v>1991</v>
      </c>
      <c r="B556" s="56" t="s">
        <v>2669</v>
      </c>
      <c r="C556" s="57" t="s">
        <v>177</v>
      </c>
      <c r="D556" s="56" t="s">
        <v>7</v>
      </c>
      <c r="E556" s="59" t="s">
        <v>1993</v>
      </c>
      <c r="F556" s="58"/>
    </row>
    <row r="557" ht="15" customHeight="1" spans="1:6">
      <c r="A557" s="56" t="s">
        <v>1991</v>
      </c>
      <c r="B557" s="56" t="s">
        <v>2670</v>
      </c>
      <c r="C557" s="57" t="s">
        <v>177</v>
      </c>
      <c r="D557" s="56" t="s">
        <v>7</v>
      </c>
      <c r="E557" s="59" t="s">
        <v>1993</v>
      </c>
      <c r="F557" s="58"/>
    </row>
    <row r="558" ht="15" customHeight="1" spans="1:6">
      <c r="A558" s="56" t="s">
        <v>1991</v>
      </c>
      <c r="B558" s="56" t="s">
        <v>2671</v>
      </c>
      <c r="C558" s="57" t="s">
        <v>177</v>
      </c>
      <c r="D558" s="56" t="s">
        <v>7</v>
      </c>
      <c r="E558" s="59" t="s">
        <v>1993</v>
      </c>
      <c r="F558" s="58"/>
    </row>
    <row r="559" ht="15" customHeight="1" spans="1:6">
      <c r="A559" s="56" t="s">
        <v>1991</v>
      </c>
      <c r="B559" s="56" t="s">
        <v>2672</v>
      </c>
      <c r="C559" s="57" t="s">
        <v>177</v>
      </c>
      <c r="D559" s="56" t="s">
        <v>7</v>
      </c>
      <c r="E559" s="59" t="s">
        <v>1993</v>
      </c>
      <c r="F559" s="58"/>
    </row>
    <row r="560" ht="15" customHeight="1" spans="1:6">
      <c r="A560" s="56" t="s">
        <v>1991</v>
      </c>
      <c r="B560" s="56" t="s">
        <v>2673</v>
      </c>
      <c r="C560" s="57" t="s">
        <v>177</v>
      </c>
      <c r="D560" s="56" t="s">
        <v>7</v>
      </c>
      <c r="E560" s="59" t="s">
        <v>1993</v>
      </c>
      <c r="F560" s="58"/>
    </row>
    <row r="561" ht="15" customHeight="1" spans="1:6">
      <c r="A561" s="56" t="s">
        <v>1991</v>
      </c>
      <c r="B561" s="56" t="s">
        <v>2674</v>
      </c>
      <c r="C561" s="57" t="s">
        <v>177</v>
      </c>
      <c r="D561" s="56" t="s">
        <v>7</v>
      </c>
      <c r="E561" s="59" t="s">
        <v>1993</v>
      </c>
      <c r="F561" s="58"/>
    </row>
    <row r="562" ht="15" customHeight="1" spans="1:6">
      <c r="A562" s="56" t="s">
        <v>1991</v>
      </c>
      <c r="B562" s="56" t="s">
        <v>2675</v>
      </c>
      <c r="C562" s="57" t="s">
        <v>177</v>
      </c>
      <c r="D562" s="56" t="s">
        <v>7</v>
      </c>
      <c r="E562" s="59" t="s">
        <v>1993</v>
      </c>
      <c r="F562" s="58"/>
    </row>
    <row r="563" ht="15" customHeight="1" spans="1:6">
      <c r="A563" s="56" t="s">
        <v>1991</v>
      </c>
      <c r="B563" s="56" t="s">
        <v>2676</v>
      </c>
      <c r="C563" s="57" t="s">
        <v>177</v>
      </c>
      <c r="D563" s="56" t="s">
        <v>7</v>
      </c>
      <c r="E563" s="59" t="s">
        <v>1993</v>
      </c>
      <c r="F563" s="58"/>
    </row>
    <row r="564" ht="15" customHeight="1" spans="1:6">
      <c r="A564" s="56" t="s">
        <v>1991</v>
      </c>
      <c r="B564" s="56" t="s">
        <v>2677</v>
      </c>
      <c r="C564" s="57" t="s">
        <v>177</v>
      </c>
      <c r="D564" s="56" t="s">
        <v>7</v>
      </c>
      <c r="E564" s="59" t="s">
        <v>1993</v>
      </c>
      <c r="F564" s="58"/>
    </row>
    <row r="565" ht="15" customHeight="1" spans="1:6">
      <c r="A565" s="56" t="s">
        <v>1991</v>
      </c>
      <c r="B565" s="56" t="s">
        <v>2678</v>
      </c>
      <c r="C565" s="57" t="s">
        <v>177</v>
      </c>
      <c r="D565" s="56" t="s">
        <v>7</v>
      </c>
      <c r="E565" s="59" t="s">
        <v>1993</v>
      </c>
      <c r="F565" s="58"/>
    </row>
    <row r="566" ht="15" customHeight="1" spans="1:6">
      <c r="A566" s="56" t="s">
        <v>1991</v>
      </c>
      <c r="B566" s="56" t="s">
        <v>2679</v>
      </c>
      <c r="C566" s="57" t="s">
        <v>177</v>
      </c>
      <c r="D566" s="56" t="s">
        <v>7</v>
      </c>
      <c r="E566" s="59" t="s">
        <v>1993</v>
      </c>
      <c r="F566" s="58"/>
    </row>
    <row r="567" ht="15" customHeight="1" spans="1:6">
      <c r="A567" s="56" t="s">
        <v>1991</v>
      </c>
      <c r="B567" s="56" t="s">
        <v>2680</v>
      </c>
      <c r="C567" s="57" t="s">
        <v>177</v>
      </c>
      <c r="D567" s="56" t="s">
        <v>7</v>
      </c>
      <c r="E567" s="59" t="s">
        <v>1993</v>
      </c>
      <c r="F567" s="58"/>
    </row>
    <row r="568" ht="15" customHeight="1" spans="1:6">
      <c r="A568" s="56" t="s">
        <v>1991</v>
      </c>
      <c r="B568" s="56" t="s">
        <v>2681</v>
      </c>
      <c r="C568" s="57" t="s">
        <v>177</v>
      </c>
      <c r="D568" s="56" t="s">
        <v>7</v>
      </c>
      <c r="E568" s="59" t="s">
        <v>1993</v>
      </c>
      <c r="F568" s="58"/>
    </row>
    <row r="569" ht="15" customHeight="1" spans="1:6">
      <c r="A569" s="56" t="s">
        <v>1991</v>
      </c>
      <c r="B569" s="56" t="s">
        <v>2682</v>
      </c>
      <c r="C569" s="57" t="s">
        <v>177</v>
      </c>
      <c r="D569" s="56" t="s">
        <v>7</v>
      </c>
      <c r="E569" s="59" t="s">
        <v>1993</v>
      </c>
      <c r="F569" s="58"/>
    </row>
    <row r="570" ht="15" customHeight="1" spans="1:6">
      <c r="A570" s="56" t="s">
        <v>1991</v>
      </c>
      <c r="B570" s="56" t="s">
        <v>2683</v>
      </c>
      <c r="C570" s="57" t="s">
        <v>177</v>
      </c>
      <c r="D570" s="56" t="s">
        <v>7</v>
      </c>
      <c r="E570" s="59" t="s">
        <v>1993</v>
      </c>
      <c r="F570" s="58"/>
    </row>
    <row r="571" ht="15" customHeight="1" spans="1:6">
      <c r="A571" s="56" t="s">
        <v>1991</v>
      </c>
      <c r="B571" s="56" t="s">
        <v>2684</v>
      </c>
      <c r="C571" s="57" t="s">
        <v>177</v>
      </c>
      <c r="D571" s="56" t="s">
        <v>7</v>
      </c>
      <c r="E571" s="59" t="s">
        <v>1993</v>
      </c>
      <c r="F571" s="58"/>
    </row>
    <row r="572" ht="15" customHeight="1" spans="1:6">
      <c r="A572" s="56" t="s">
        <v>1991</v>
      </c>
      <c r="B572" s="56" t="s">
        <v>2685</v>
      </c>
      <c r="C572" s="57" t="s">
        <v>177</v>
      </c>
      <c r="D572" s="56" t="s">
        <v>7</v>
      </c>
      <c r="E572" s="59" t="s">
        <v>1993</v>
      </c>
      <c r="F572" s="58"/>
    </row>
    <row r="573" ht="15" customHeight="1" spans="1:6">
      <c r="A573" s="56" t="s">
        <v>1991</v>
      </c>
      <c r="B573" s="56" t="s">
        <v>2686</v>
      </c>
      <c r="C573" s="57" t="s">
        <v>177</v>
      </c>
      <c r="D573" s="56" t="s">
        <v>7</v>
      </c>
      <c r="E573" s="59" t="s">
        <v>1993</v>
      </c>
      <c r="F573" s="58"/>
    </row>
    <row r="574" ht="15" customHeight="1" spans="1:6">
      <c r="A574" s="56" t="s">
        <v>1991</v>
      </c>
      <c r="B574" s="56" t="s">
        <v>2687</v>
      </c>
      <c r="C574" s="57" t="s">
        <v>177</v>
      </c>
      <c r="D574" s="56" t="s">
        <v>7</v>
      </c>
      <c r="E574" s="59" t="s">
        <v>1993</v>
      </c>
      <c r="F574" s="58"/>
    </row>
    <row r="575" ht="15" customHeight="1" spans="1:6">
      <c r="A575" s="56" t="s">
        <v>1991</v>
      </c>
      <c r="B575" s="56" t="s">
        <v>2688</v>
      </c>
      <c r="C575" s="57" t="s">
        <v>177</v>
      </c>
      <c r="D575" s="56" t="s">
        <v>7</v>
      </c>
      <c r="E575" s="59" t="s">
        <v>1993</v>
      </c>
      <c r="F575" s="58"/>
    </row>
    <row r="576" ht="15" customHeight="1" spans="1:6">
      <c r="A576" s="56" t="s">
        <v>1991</v>
      </c>
      <c r="B576" s="56" t="s">
        <v>2689</v>
      </c>
      <c r="C576" s="57" t="s">
        <v>177</v>
      </c>
      <c r="D576" s="56" t="s">
        <v>7</v>
      </c>
      <c r="E576" s="59" t="s">
        <v>1993</v>
      </c>
      <c r="F576" s="58"/>
    </row>
    <row r="577" ht="15" customHeight="1" spans="1:6">
      <c r="A577" s="56" t="s">
        <v>1991</v>
      </c>
      <c r="B577" s="56" t="s">
        <v>2690</v>
      </c>
      <c r="C577" s="57" t="s">
        <v>177</v>
      </c>
      <c r="D577" s="56" t="s">
        <v>7</v>
      </c>
      <c r="E577" s="59" t="s">
        <v>1993</v>
      </c>
      <c r="F577" s="58"/>
    </row>
    <row r="578" ht="15" customHeight="1" spans="1:6">
      <c r="A578" s="56" t="s">
        <v>1991</v>
      </c>
      <c r="B578" s="56" t="s">
        <v>2691</v>
      </c>
      <c r="C578" s="57" t="s">
        <v>177</v>
      </c>
      <c r="D578" s="56" t="s">
        <v>7</v>
      </c>
      <c r="E578" s="59" t="s">
        <v>1993</v>
      </c>
      <c r="F578" s="58"/>
    </row>
    <row r="579" ht="15" customHeight="1" spans="1:6">
      <c r="A579" s="56" t="s">
        <v>1991</v>
      </c>
      <c r="B579" s="56" t="s">
        <v>2692</v>
      </c>
      <c r="C579" s="57" t="s">
        <v>177</v>
      </c>
      <c r="D579" s="56" t="s">
        <v>7</v>
      </c>
      <c r="E579" s="59" t="s">
        <v>1993</v>
      </c>
      <c r="F579" s="58"/>
    </row>
    <row r="580" ht="15" customHeight="1" spans="1:6">
      <c r="A580" s="56" t="s">
        <v>1991</v>
      </c>
      <c r="B580" s="56" t="s">
        <v>2693</v>
      </c>
      <c r="C580" s="57" t="s">
        <v>177</v>
      </c>
      <c r="D580" s="56" t="s">
        <v>7</v>
      </c>
      <c r="E580" s="59" t="s">
        <v>1993</v>
      </c>
      <c r="F580" s="58"/>
    </row>
    <row r="581" ht="15" customHeight="1" spans="1:6">
      <c r="A581" s="56" t="s">
        <v>1991</v>
      </c>
      <c r="B581" s="56" t="s">
        <v>2694</v>
      </c>
      <c r="C581" s="57" t="s">
        <v>177</v>
      </c>
      <c r="D581" s="56" t="s">
        <v>7</v>
      </c>
      <c r="E581" s="59" t="s">
        <v>1993</v>
      </c>
      <c r="F581" s="58"/>
    </row>
    <row r="582" ht="15" customHeight="1" spans="1:6">
      <c r="A582" s="56" t="s">
        <v>1991</v>
      </c>
      <c r="B582" s="56" t="s">
        <v>2695</v>
      </c>
      <c r="C582" s="57" t="s">
        <v>177</v>
      </c>
      <c r="D582" s="56" t="s">
        <v>7</v>
      </c>
      <c r="E582" s="59" t="s">
        <v>1993</v>
      </c>
      <c r="F582" s="58"/>
    </row>
    <row r="583" ht="15" customHeight="1" spans="1:6">
      <c r="A583" s="56" t="s">
        <v>1991</v>
      </c>
      <c r="B583" s="56" t="s">
        <v>2696</v>
      </c>
      <c r="C583" s="57" t="s">
        <v>2697</v>
      </c>
      <c r="D583" s="56" t="s">
        <v>7</v>
      </c>
      <c r="E583" s="59" t="s">
        <v>1993</v>
      </c>
      <c r="F583" s="58"/>
    </row>
    <row r="584" ht="15" customHeight="1" spans="1:6">
      <c r="A584" s="56" t="s">
        <v>1991</v>
      </c>
      <c r="B584" s="56" t="s">
        <v>2698</v>
      </c>
      <c r="C584" s="57" t="s">
        <v>95</v>
      </c>
      <c r="D584" s="56" t="s">
        <v>7</v>
      </c>
      <c r="E584" s="59" t="s">
        <v>1993</v>
      </c>
      <c r="F584" s="58"/>
    </row>
    <row r="585" ht="15" customHeight="1" spans="1:6">
      <c r="A585" s="56" t="s">
        <v>1991</v>
      </c>
      <c r="B585" s="56" t="s">
        <v>2699</v>
      </c>
      <c r="C585" s="57" t="s">
        <v>95</v>
      </c>
      <c r="D585" s="56" t="s">
        <v>7</v>
      </c>
      <c r="E585" s="59" t="s">
        <v>1993</v>
      </c>
      <c r="F585" s="58"/>
    </row>
    <row r="586" ht="15" customHeight="1" spans="1:6">
      <c r="A586" s="56" t="s">
        <v>1991</v>
      </c>
      <c r="B586" s="56" t="s">
        <v>2700</v>
      </c>
      <c r="C586" s="57" t="s">
        <v>2701</v>
      </c>
      <c r="D586" s="56" t="s">
        <v>7</v>
      </c>
      <c r="E586" s="59" t="s">
        <v>1993</v>
      </c>
      <c r="F586" s="58"/>
    </row>
    <row r="587" ht="15" customHeight="1" spans="1:6">
      <c r="A587" s="56" t="s">
        <v>1991</v>
      </c>
      <c r="B587" s="56" t="s">
        <v>2702</v>
      </c>
      <c r="C587" s="57" t="s">
        <v>1611</v>
      </c>
      <c r="D587" s="56" t="s">
        <v>7</v>
      </c>
      <c r="E587" s="59" t="s">
        <v>1993</v>
      </c>
      <c r="F587" s="58"/>
    </row>
    <row r="588" ht="15" customHeight="1" spans="1:6">
      <c r="A588" s="56" t="s">
        <v>1991</v>
      </c>
      <c r="B588" s="56" t="s">
        <v>2703</v>
      </c>
      <c r="C588" s="57" t="s">
        <v>108</v>
      </c>
      <c r="D588" s="56" t="s">
        <v>7</v>
      </c>
      <c r="E588" s="59" t="s">
        <v>1993</v>
      </c>
      <c r="F588" s="58"/>
    </row>
    <row r="589" ht="15" customHeight="1" spans="1:6">
      <c r="A589" s="56" t="s">
        <v>1991</v>
      </c>
      <c r="B589" s="56" t="s">
        <v>2704</v>
      </c>
      <c r="C589" s="57" t="s">
        <v>177</v>
      </c>
      <c r="D589" s="56" t="s">
        <v>7</v>
      </c>
      <c r="E589" s="59" t="s">
        <v>1993</v>
      </c>
      <c r="F589" s="58"/>
    </row>
    <row r="590" ht="15" customHeight="1" spans="1:6">
      <c r="A590" s="56" t="s">
        <v>1991</v>
      </c>
      <c r="B590" s="56" t="s">
        <v>2705</v>
      </c>
      <c r="C590" s="57" t="s">
        <v>177</v>
      </c>
      <c r="D590" s="56" t="s">
        <v>7</v>
      </c>
      <c r="E590" s="59" t="s">
        <v>1993</v>
      </c>
      <c r="F590" s="58"/>
    </row>
    <row r="591" ht="15" customHeight="1" spans="1:6">
      <c r="A591" s="56" t="s">
        <v>1991</v>
      </c>
      <c r="B591" s="56" t="s">
        <v>2706</v>
      </c>
      <c r="C591" s="57" t="s">
        <v>177</v>
      </c>
      <c r="D591" s="56" t="s">
        <v>7</v>
      </c>
      <c r="E591" s="59" t="s">
        <v>1993</v>
      </c>
      <c r="F591" s="58"/>
    </row>
    <row r="592" ht="15" customHeight="1" spans="1:6">
      <c r="A592" s="56" t="s">
        <v>1991</v>
      </c>
      <c r="B592" s="56" t="s">
        <v>2707</v>
      </c>
      <c r="C592" s="57" t="s">
        <v>177</v>
      </c>
      <c r="D592" s="56" t="s">
        <v>7</v>
      </c>
      <c r="E592" s="59" t="s">
        <v>1993</v>
      </c>
      <c r="F592" s="58"/>
    </row>
    <row r="593" ht="15" customHeight="1" spans="1:6">
      <c r="A593" s="56" t="s">
        <v>1991</v>
      </c>
      <c r="B593" s="56" t="s">
        <v>2708</v>
      </c>
      <c r="C593" s="57" t="s">
        <v>177</v>
      </c>
      <c r="D593" s="56" t="s">
        <v>7</v>
      </c>
      <c r="E593" s="59" t="s">
        <v>1993</v>
      </c>
      <c r="F593" s="58"/>
    </row>
    <row r="594" ht="15" customHeight="1" spans="1:6">
      <c r="A594" s="56" t="s">
        <v>1991</v>
      </c>
      <c r="B594" s="56" t="s">
        <v>2709</v>
      </c>
      <c r="C594" s="57" t="s">
        <v>362</v>
      </c>
      <c r="D594" s="56" t="s">
        <v>7</v>
      </c>
      <c r="E594" s="59" t="s">
        <v>1993</v>
      </c>
      <c r="F594" s="58"/>
    </row>
    <row r="595" ht="15" customHeight="1" spans="1:6">
      <c r="A595" s="56" t="s">
        <v>1991</v>
      </c>
      <c r="B595" s="56" t="s">
        <v>2710</v>
      </c>
      <c r="C595" s="57" t="s">
        <v>2427</v>
      </c>
      <c r="D595" s="56" t="s">
        <v>7</v>
      </c>
      <c r="E595" s="59" t="s">
        <v>1993</v>
      </c>
      <c r="F595" s="58"/>
    </row>
    <row r="596" ht="15" customHeight="1" spans="1:6">
      <c r="A596" s="56" t="s">
        <v>1991</v>
      </c>
      <c r="B596" s="56" t="s">
        <v>2711</v>
      </c>
      <c r="C596" s="57" t="s">
        <v>177</v>
      </c>
      <c r="D596" s="56" t="s">
        <v>7</v>
      </c>
      <c r="E596" s="59" t="s">
        <v>1993</v>
      </c>
      <c r="F596" s="58"/>
    </row>
    <row r="597" ht="15" customHeight="1" spans="1:6">
      <c r="A597" s="56" t="s">
        <v>1991</v>
      </c>
      <c r="B597" s="56" t="s">
        <v>2712</v>
      </c>
      <c r="C597" s="57" t="s">
        <v>177</v>
      </c>
      <c r="D597" s="56" t="s">
        <v>7</v>
      </c>
      <c r="E597" s="59" t="s">
        <v>1993</v>
      </c>
      <c r="F597" s="58"/>
    </row>
    <row r="598" ht="15" customHeight="1" spans="1:6">
      <c r="A598" s="56" t="s">
        <v>1991</v>
      </c>
      <c r="B598" s="56" t="s">
        <v>2713</v>
      </c>
      <c r="C598" s="57" t="s">
        <v>177</v>
      </c>
      <c r="D598" s="56" t="s">
        <v>7</v>
      </c>
      <c r="E598" s="59" t="s">
        <v>1993</v>
      </c>
      <c r="F598" s="58"/>
    </row>
    <row r="599" ht="15" customHeight="1" spans="1:6">
      <c r="A599" s="56" t="s">
        <v>1991</v>
      </c>
      <c r="B599" s="56" t="s">
        <v>2714</v>
      </c>
      <c r="C599" s="57" t="s">
        <v>177</v>
      </c>
      <c r="D599" s="56" t="s">
        <v>7</v>
      </c>
      <c r="E599" s="59" t="s">
        <v>1993</v>
      </c>
      <c r="F599" s="58"/>
    </row>
    <row r="600" ht="15" customHeight="1" spans="1:6">
      <c r="A600" s="56" t="s">
        <v>1991</v>
      </c>
      <c r="B600" s="56" t="s">
        <v>2715</v>
      </c>
      <c r="C600" s="57" t="s">
        <v>177</v>
      </c>
      <c r="D600" s="56" t="s">
        <v>7</v>
      </c>
      <c r="E600" s="59" t="s">
        <v>1993</v>
      </c>
      <c r="F600" s="58"/>
    </row>
    <row r="601" ht="15" customHeight="1" spans="1:6">
      <c r="A601" s="56" t="s">
        <v>1991</v>
      </c>
      <c r="B601" s="56" t="s">
        <v>2716</v>
      </c>
      <c r="C601" s="57" t="s">
        <v>177</v>
      </c>
      <c r="D601" s="56" t="s">
        <v>7</v>
      </c>
      <c r="E601" s="59" t="s">
        <v>1993</v>
      </c>
      <c r="F601" s="58"/>
    </row>
    <row r="602" ht="15" customHeight="1" spans="1:6">
      <c r="A602" s="56" t="s">
        <v>1991</v>
      </c>
      <c r="B602" s="56" t="s">
        <v>2717</v>
      </c>
      <c r="C602" s="57" t="s">
        <v>177</v>
      </c>
      <c r="D602" s="56" t="s">
        <v>7</v>
      </c>
      <c r="E602" s="59" t="s">
        <v>1993</v>
      </c>
      <c r="F602" s="58"/>
    </row>
    <row r="603" ht="15" customHeight="1" spans="1:6">
      <c r="A603" s="56" t="s">
        <v>1991</v>
      </c>
      <c r="B603" s="56" t="s">
        <v>2718</v>
      </c>
      <c r="C603" s="57" t="s">
        <v>177</v>
      </c>
      <c r="D603" s="56" t="s">
        <v>7</v>
      </c>
      <c r="E603" s="59" t="s">
        <v>1993</v>
      </c>
      <c r="F603" s="58"/>
    </row>
    <row r="604" ht="15" customHeight="1" spans="1:6">
      <c r="A604" s="56" t="s">
        <v>1991</v>
      </c>
      <c r="B604" s="56" t="s">
        <v>2719</v>
      </c>
      <c r="C604" s="57" t="s">
        <v>177</v>
      </c>
      <c r="D604" s="56" t="s">
        <v>7</v>
      </c>
      <c r="E604" s="59" t="s">
        <v>1993</v>
      </c>
      <c r="F604" s="58"/>
    </row>
    <row r="605" ht="15" customHeight="1" spans="1:6">
      <c r="A605" s="56" t="s">
        <v>1991</v>
      </c>
      <c r="B605" s="56" t="s">
        <v>2720</v>
      </c>
      <c r="C605" s="57" t="s">
        <v>177</v>
      </c>
      <c r="D605" s="56" t="s">
        <v>7</v>
      </c>
      <c r="E605" s="59" t="s">
        <v>1993</v>
      </c>
      <c r="F605" s="58"/>
    </row>
    <row r="606" ht="15" customHeight="1" spans="1:6">
      <c r="A606" s="56" t="s">
        <v>1991</v>
      </c>
      <c r="B606" s="56" t="s">
        <v>2721</v>
      </c>
      <c r="C606" s="57" t="s">
        <v>177</v>
      </c>
      <c r="D606" s="56" t="s">
        <v>7</v>
      </c>
      <c r="E606" s="59" t="s">
        <v>1993</v>
      </c>
      <c r="F606" s="58"/>
    </row>
    <row r="607" ht="15" customHeight="1" spans="1:6">
      <c r="A607" s="56" t="s">
        <v>1991</v>
      </c>
      <c r="B607" s="56" t="s">
        <v>2722</v>
      </c>
      <c r="C607" s="57" t="s">
        <v>177</v>
      </c>
      <c r="D607" s="56" t="s">
        <v>7</v>
      </c>
      <c r="E607" s="59" t="s">
        <v>1993</v>
      </c>
      <c r="F607" s="58"/>
    </row>
    <row r="608" ht="15" customHeight="1" spans="1:6">
      <c r="A608" s="56" t="s">
        <v>1991</v>
      </c>
      <c r="B608" s="56" t="s">
        <v>2723</v>
      </c>
      <c r="C608" s="57" t="s">
        <v>177</v>
      </c>
      <c r="D608" s="56" t="s">
        <v>7</v>
      </c>
      <c r="E608" s="59" t="s">
        <v>1993</v>
      </c>
      <c r="F608" s="58"/>
    </row>
    <row r="609" ht="15" customHeight="1" spans="1:6">
      <c r="A609" s="56" t="s">
        <v>1991</v>
      </c>
      <c r="B609" s="56" t="s">
        <v>2724</v>
      </c>
      <c r="C609" s="57" t="s">
        <v>177</v>
      </c>
      <c r="D609" s="56" t="s">
        <v>7</v>
      </c>
      <c r="E609" s="59" t="s">
        <v>1993</v>
      </c>
      <c r="F609" s="58"/>
    </row>
    <row r="610" ht="15" customHeight="1" spans="1:6">
      <c r="A610" s="56" t="s">
        <v>1991</v>
      </c>
      <c r="B610" s="56" t="s">
        <v>2725</v>
      </c>
      <c r="C610" s="57" t="s">
        <v>177</v>
      </c>
      <c r="D610" s="56" t="s">
        <v>7</v>
      </c>
      <c r="E610" s="59" t="s">
        <v>1993</v>
      </c>
      <c r="F610" s="58"/>
    </row>
    <row r="611" ht="15" customHeight="1" spans="1:6">
      <c r="A611" s="56" t="s">
        <v>1991</v>
      </c>
      <c r="B611" s="56" t="s">
        <v>2726</v>
      </c>
      <c r="C611" s="57" t="s">
        <v>177</v>
      </c>
      <c r="D611" s="56" t="s">
        <v>7</v>
      </c>
      <c r="E611" s="59" t="s">
        <v>1993</v>
      </c>
      <c r="F611" s="58"/>
    </row>
    <row r="612" ht="15" customHeight="1" spans="1:6">
      <c r="A612" s="56" t="s">
        <v>1991</v>
      </c>
      <c r="B612" s="56" t="s">
        <v>2727</v>
      </c>
      <c r="C612" s="57" t="s">
        <v>177</v>
      </c>
      <c r="D612" s="56" t="s">
        <v>7</v>
      </c>
      <c r="E612" s="59" t="s">
        <v>1993</v>
      </c>
      <c r="F612" s="58"/>
    </row>
    <row r="613" ht="15" customHeight="1" spans="1:6">
      <c r="A613" s="56" t="s">
        <v>1991</v>
      </c>
      <c r="B613" s="56" t="s">
        <v>2728</v>
      </c>
      <c r="C613" s="57" t="s">
        <v>177</v>
      </c>
      <c r="D613" s="56" t="s">
        <v>7</v>
      </c>
      <c r="E613" s="59" t="s">
        <v>1993</v>
      </c>
      <c r="F613" s="58"/>
    </row>
    <row r="614" ht="15" customHeight="1" spans="1:6">
      <c r="A614" s="56" t="s">
        <v>1991</v>
      </c>
      <c r="B614" s="56" t="s">
        <v>2729</v>
      </c>
      <c r="C614" s="57" t="s">
        <v>95</v>
      </c>
      <c r="D614" s="56" t="s">
        <v>7</v>
      </c>
      <c r="E614" s="59" t="s">
        <v>1993</v>
      </c>
      <c r="F614" s="58"/>
    </row>
    <row r="615" ht="15" customHeight="1" spans="1:6">
      <c r="A615" s="56" t="s">
        <v>1991</v>
      </c>
      <c r="B615" s="56" t="s">
        <v>2730</v>
      </c>
      <c r="C615" s="57" t="s">
        <v>95</v>
      </c>
      <c r="D615" s="56" t="s">
        <v>7</v>
      </c>
      <c r="E615" s="59" t="s">
        <v>1993</v>
      </c>
      <c r="F615" s="58"/>
    </row>
    <row r="616" ht="15" customHeight="1" spans="1:6">
      <c r="A616" s="56" t="s">
        <v>1991</v>
      </c>
      <c r="B616" s="56" t="s">
        <v>2731</v>
      </c>
      <c r="C616" s="57" t="s">
        <v>2732</v>
      </c>
      <c r="D616" s="56" t="s">
        <v>7</v>
      </c>
      <c r="E616" s="59" t="s">
        <v>1993</v>
      </c>
      <c r="F616" s="58"/>
    </row>
    <row r="617" ht="15" customHeight="1" spans="1:6">
      <c r="A617" s="56" t="s">
        <v>1991</v>
      </c>
      <c r="B617" s="56" t="s">
        <v>2733</v>
      </c>
      <c r="C617" s="57" t="s">
        <v>177</v>
      </c>
      <c r="D617" s="56" t="s">
        <v>7</v>
      </c>
      <c r="E617" s="59" t="s">
        <v>1993</v>
      </c>
      <c r="F617" s="58"/>
    </row>
    <row r="618" ht="15" customHeight="1" spans="1:6">
      <c r="A618" s="56" t="s">
        <v>1991</v>
      </c>
      <c r="B618" s="56" t="s">
        <v>2734</v>
      </c>
      <c r="C618" s="57" t="s">
        <v>177</v>
      </c>
      <c r="D618" s="56" t="s">
        <v>7</v>
      </c>
      <c r="E618" s="59" t="s">
        <v>1993</v>
      </c>
      <c r="F618" s="58"/>
    </row>
    <row r="619" ht="15" customHeight="1" spans="1:6">
      <c r="A619" s="56" t="s">
        <v>1991</v>
      </c>
      <c r="B619" s="56" t="s">
        <v>2735</v>
      </c>
      <c r="C619" s="57" t="s">
        <v>177</v>
      </c>
      <c r="D619" s="56" t="s">
        <v>7</v>
      </c>
      <c r="E619" s="59" t="s">
        <v>1993</v>
      </c>
      <c r="F619" s="58"/>
    </row>
    <row r="620" ht="15" customHeight="1" spans="1:6">
      <c r="A620" s="56" t="s">
        <v>1991</v>
      </c>
      <c r="B620" s="56" t="s">
        <v>2736</v>
      </c>
      <c r="C620" s="57" t="s">
        <v>177</v>
      </c>
      <c r="D620" s="56" t="s">
        <v>7</v>
      </c>
      <c r="E620" s="59" t="s">
        <v>1993</v>
      </c>
      <c r="F620" s="58"/>
    </row>
    <row r="621" ht="15" customHeight="1" spans="1:6">
      <c r="A621" s="56" t="s">
        <v>1991</v>
      </c>
      <c r="B621" s="56" t="s">
        <v>2737</v>
      </c>
      <c r="C621" s="57" t="s">
        <v>177</v>
      </c>
      <c r="D621" s="56" t="s">
        <v>7</v>
      </c>
      <c r="E621" s="59" t="s">
        <v>1993</v>
      </c>
      <c r="F621" s="58"/>
    </row>
    <row r="622" ht="15" customHeight="1" spans="1:6">
      <c r="A622" s="56" t="s">
        <v>1991</v>
      </c>
      <c r="B622" s="56" t="s">
        <v>2738</v>
      </c>
      <c r="C622" s="57" t="s">
        <v>177</v>
      </c>
      <c r="D622" s="56" t="s">
        <v>7</v>
      </c>
      <c r="E622" s="59" t="s">
        <v>1993</v>
      </c>
      <c r="F622" s="58"/>
    </row>
    <row r="623" ht="15" customHeight="1" spans="1:6">
      <c r="A623" s="56" t="s">
        <v>1991</v>
      </c>
      <c r="B623" s="56" t="s">
        <v>2739</v>
      </c>
      <c r="C623" s="57" t="s">
        <v>177</v>
      </c>
      <c r="D623" s="56" t="s">
        <v>7</v>
      </c>
      <c r="E623" s="59" t="s">
        <v>1993</v>
      </c>
      <c r="F623" s="58"/>
    </row>
    <row r="624" ht="15" customHeight="1" spans="1:6">
      <c r="A624" s="56" t="s">
        <v>1991</v>
      </c>
      <c r="B624" s="56" t="s">
        <v>2740</v>
      </c>
      <c r="C624" s="57" t="s">
        <v>177</v>
      </c>
      <c r="D624" s="56" t="s">
        <v>7</v>
      </c>
      <c r="E624" s="59" t="s">
        <v>1993</v>
      </c>
      <c r="F624" s="58"/>
    </row>
    <row r="625" ht="15" customHeight="1" spans="1:6">
      <c r="A625" s="56" t="s">
        <v>1991</v>
      </c>
      <c r="B625" s="56" t="s">
        <v>2741</v>
      </c>
      <c r="C625" s="57" t="s">
        <v>177</v>
      </c>
      <c r="D625" s="56" t="s">
        <v>7</v>
      </c>
      <c r="E625" s="59" t="s">
        <v>1993</v>
      </c>
      <c r="F625" s="58"/>
    </row>
    <row r="626" ht="15" customHeight="1" spans="1:6">
      <c r="A626" s="56" t="s">
        <v>1991</v>
      </c>
      <c r="B626" s="56" t="s">
        <v>2742</v>
      </c>
      <c r="C626" s="57" t="s">
        <v>177</v>
      </c>
      <c r="D626" s="56" t="s">
        <v>7</v>
      </c>
      <c r="E626" s="59" t="s">
        <v>1993</v>
      </c>
      <c r="F626" s="58"/>
    </row>
    <row r="627" ht="15" customHeight="1" spans="1:6">
      <c r="A627" s="56" t="s">
        <v>1991</v>
      </c>
      <c r="B627" s="56" t="s">
        <v>2743</v>
      </c>
      <c r="C627" s="57" t="s">
        <v>177</v>
      </c>
      <c r="D627" s="56" t="s">
        <v>7</v>
      </c>
      <c r="E627" s="59" t="s">
        <v>1993</v>
      </c>
      <c r="F627" s="58"/>
    </row>
    <row r="628" ht="15" customHeight="1" spans="1:6">
      <c r="A628" s="56" t="s">
        <v>1991</v>
      </c>
      <c r="B628" s="56" t="s">
        <v>2744</v>
      </c>
      <c r="C628" s="57" t="s">
        <v>177</v>
      </c>
      <c r="D628" s="56" t="s">
        <v>7</v>
      </c>
      <c r="E628" s="59" t="s">
        <v>1993</v>
      </c>
      <c r="F628" s="58"/>
    </row>
    <row r="629" ht="15" customHeight="1" spans="1:6">
      <c r="A629" s="56" t="s">
        <v>1991</v>
      </c>
      <c r="B629" s="56" t="s">
        <v>2745</v>
      </c>
      <c r="C629" s="57" t="s">
        <v>364</v>
      </c>
      <c r="D629" s="56" t="s">
        <v>7</v>
      </c>
      <c r="E629" s="59" t="s">
        <v>1993</v>
      </c>
      <c r="F629" s="58"/>
    </row>
    <row r="630" ht="15" customHeight="1" spans="1:6">
      <c r="A630" s="56" t="s">
        <v>1991</v>
      </c>
      <c r="B630" s="56" t="s">
        <v>2746</v>
      </c>
      <c r="C630" s="57" t="s">
        <v>2427</v>
      </c>
      <c r="D630" s="56" t="s">
        <v>7</v>
      </c>
      <c r="E630" s="59" t="s">
        <v>1993</v>
      </c>
      <c r="F630" s="58"/>
    </row>
    <row r="631" ht="15" customHeight="1" spans="1:6">
      <c r="A631" s="56" t="s">
        <v>1991</v>
      </c>
      <c r="B631" s="56" t="s">
        <v>2747</v>
      </c>
      <c r="C631" s="57" t="s">
        <v>177</v>
      </c>
      <c r="D631" s="56" t="s">
        <v>7</v>
      </c>
      <c r="E631" s="59" t="s">
        <v>1993</v>
      </c>
      <c r="F631" s="58"/>
    </row>
    <row r="632" ht="15" customHeight="1" spans="1:6">
      <c r="A632" s="56" t="s">
        <v>1991</v>
      </c>
      <c r="B632" s="56" t="s">
        <v>2748</v>
      </c>
      <c r="C632" s="57" t="s">
        <v>177</v>
      </c>
      <c r="D632" s="56" t="s">
        <v>7</v>
      </c>
      <c r="E632" s="59" t="s">
        <v>1993</v>
      </c>
      <c r="F632" s="58"/>
    </row>
    <row r="633" ht="15" customHeight="1" spans="1:6">
      <c r="A633" s="56" t="s">
        <v>1991</v>
      </c>
      <c r="B633" s="56" t="s">
        <v>2749</v>
      </c>
      <c r="C633" s="57" t="s">
        <v>177</v>
      </c>
      <c r="D633" s="56" t="s">
        <v>7</v>
      </c>
      <c r="E633" s="59" t="s">
        <v>1993</v>
      </c>
      <c r="F633" s="58"/>
    </row>
    <row r="634" ht="15" customHeight="1" spans="1:6">
      <c r="A634" s="56" t="s">
        <v>1991</v>
      </c>
      <c r="B634" s="56" t="s">
        <v>2750</v>
      </c>
      <c r="C634" s="57" t="s">
        <v>177</v>
      </c>
      <c r="D634" s="56" t="s">
        <v>7</v>
      </c>
      <c r="E634" s="59" t="s">
        <v>1993</v>
      </c>
      <c r="F634" s="58"/>
    </row>
    <row r="635" ht="15" customHeight="1" spans="1:6">
      <c r="A635" s="56" t="s">
        <v>1991</v>
      </c>
      <c r="B635" s="56" t="s">
        <v>2751</v>
      </c>
      <c r="C635" s="57" t="s">
        <v>177</v>
      </c>
      <c r="D635" s="56" t="s">
        <v>7</v>
      </c>
      <c r="E635" s="59" t="s">
        <v>1993</v>
      </c>
      <c r="F635" s="58"/>
    </row>
    <row r="636" ht="15" customHeight="1" spans="1:6">
      <c r="A636" s="56" t="s">
        <v>1991</v>
      </c>
      <c r="B636" s="56" t="s">
        <v>2752</v>
      </c>
      <c r="C636" s="57" t="s">
        <v>177</v>
      </c>
      <c r="D636" s="56" t="s">
        <v>7</v>
      </c>
      <c r="E636" s="59" t="s">
        <v>1993</v>
      </c>
      <c r="F636" s="58"/>
    </row>
    <row r="637" ht="15" customHeight="1" spans="1:6">
      <c r="A637" s="56" t="s">
        <v>1991</v>
      </c>
      <c r="B637" s="56" t="s">
        <v>2753</v>
      </c>
      <c r="C637" s="57" t="s">
        <v>177</v>
      </c>
      <c r="D637" s="56" t="s">
        <v>7</v>
      </c>
      <c r="E637" s="59" t="s">
        <v>1993</v>
      </c>
      <c r="F637" s="58"/>
    </row>
    <row r="638" ht="15" customHeight="1" spans="1:6">
      <c r="A638" s="56" t="s">
        <v>1991</v>
      </c>
      <c r="B638" s="56" t="s">
        <v>2754</v>
      </c>
      <c r="C638" s="57" t="s">
        <v>177</v>
      </c>
      <c r="D638" s="56" t="s">
        <v>7</v>
      </c>
      <c r="E638" s="59" t="s">
        <v>1993</v>
      </c>
      <c r="F638" s="58"/>
    </row>
    <row r="639" ht="15" customHeight="1" spans="1:6">
      <c r="A639" s="56" t="s">
        <v>1991</v>
      </c>
      <c r="B639" s="56" t="s">
        <v>2755</v>
      </c>
      <c r="C639" s="57" t="s">
        <v>177</v>
      </c>
      <c r="D639" s="56" t="s">
        <v>7</v>
      </c>
      <c r="E639" s="59" t="s">
        <v>1993</v>
      </c>
      <c r="F639" s="58"/>
    </row>
    <row r="640" ht="15" customHeight="1" spans="1:6">
      <c r="A640" s="56" t="s">
        <v>1991</v>
      </c>
      <c r="B640" s="56" t="s">
        <v>2756</v>
      </c>
      <c r="C640" s="57" t="s">
        <v>177</v>
      </c>
      <c r="D640" s="56" t="s">
        <v>7</v>
      </c>
      <c r="E640" s="59" t="s">
        <v>1993</v>
      </c>
      <c r="F640" s="58"/>
    </row>
    <row r="641" ht="15" customHeight="1" spans="1:6">
      <c r="A641" s="56" t="s">
        <v>1991</v>
      </c>
      <c r="B641" s="56" t="s">
        <v>2757</v>
      </c>
      <c r="C641" s="57" t="s">
        <v>177</v>
      </c>
      <c r="D641" s="56" t="s">
        <v>7</v>
      </c>
      <c r="E641" s="59" t="s">
        <v>1993</v>
      </c>
      <c r="F641" s="58"/>
    </row>
    <row r="642" ht="15" customHeight="1" spans="1:6">
      <c r="A642" s="56" t="s">
        <v>1991</v>
      </c>
      <c r="B642" s="56" t="s">
        <v>2758</v>
      </c>
      <c r="C642" s="57" t="s">
        <v>177</v>
      </c>
      <c r="D642" s="56" t="s">
        <v>7</v>
      </c>
      <c r="E642" s="59" t="s">
        <v>1993</v>
      </c>
      <c r="F642" s="58"/>
    </row>
    <row r="643" ht="15" customHeight="1" spans="1:6">
      <c r="A643" s="56" t="s">
        <v>1991</v>
      </c>
      <c r="B643" s="56" t="s">
        <v>2759</v>
      </c>
      <c r="C643" s="57" t="s">
        <v>177</v>
      </c>
      <c r="D643" s="56" t="s">
        <v>7</v>
      </c>
      <c r="E643" s="59" t="s">
        <v>1993</v>
      </c>
      <c r="F643" s="58"/>
    </row>
    <row r="644" ht="15" customHeight="1" spans="1:6">
      <c r="A644" s="56" t="s">
        <v>1991</v>
      </c>
      <c r="B644" s="56" t="s">
        <v>2760</v>
      </c>
      <c r="C644" s="57" t="s">
        <v>177</v>
      </c>
      <c r="D644" s="56" t="s">
        <v>7</v>
      </c>
      <c r="E644" s="59" t="s">
        <v>1993</v>
      </c>
      <c r="F644" s="58"/>
    </row>
    <row r="645" ht="15" customHeight="1" spans="1:6">
      <c r="A645" s="56" t="s">
        <v>1991</v>
      </c>
      <c r="B645" s="56" t="s">
        <v>2761</v>
      </c>
      <c r="C645" s="57" t="s">
        <v>177</v>
      </c>
      <c r="D645" s="56" t="s">
        <v>7</v>
      </c>
      <c r="E645" s="59" t="s">
        <v>1993</v>
      </c>
      <c r="F645" s="58"/>
    </row>
    <row r="646" ht="15" customHeight="1" spans="1:6">
      <c r="A646" s="56" t="s">
        <v>1991</v>
      </c>
      <c r="B646" s="56" t="s">
        <v>2762</v>
      </c>
      <c r="C646" s="57" t="s">
        <v>177</v>
      </c>
      <c r="D646" s="56" t="s">
        <v>7</v>
      </c>
      <c r="E646" s="59" t="s">
        <v>1993</v>
      </c>
      <c r="F646" s="58"/>
    </row>
    <row r="647" ht="15" customHeight="1" spans="1:6">
      <c r="A647" s="56" t="s">
        <v>1991</v>
      </c>
      <c r="B647" s="56" t="s">
        <v>2763</v>
      </c>
      <c r="C647" s="57" t="s">
        <v>177</v>
      </c>
      <c r="D647" s="56" t="s">
        <v>7</v>
      </c>
      <c r="E647" s="59" t="s">
        <v>1993</v>
      </c>
      <c r="F647" s="58"/>
    </row>
    <row r="648" ht="15" customHeight="1" spans="1:6">
      <c r="A648" s="56" t="s">
        <v>1991</v>
      </c>
      <c r="B648" s="56" t="s">
        <v>2764</v>
      </c>
      <c r="C648" s="57" t="s">
        <v>177</v>
      </c>
      <c r="D648" s="56" t="s">
        <v>7</v>
      </c>
      <c r="E648" s="59" t="s">
        <v>1993</v>
      </c>
      <c r="F648" s="58"/>
    </row>
    <row r="649" ht="15" customHeight="1" spans="1:6">
      <c r="A649" s="56" t="s">
        <v>1991</v>
      </c>
      <c r="B649" s="56" t="s">
        <v>2765</v>
      </c>
      <c r="C649" s="57" t="s">
        <v>177</v>
      </c>
      <c r="D649" s="56" t="s">
        <v>7</v>
      </c>
      <c r="E649" s="59" t="s">
        <v>1993</v>
      </c>
      <c r="F649" s="58"/>
    </row>
    <row r="650" ht="15" customHeight="1" spans="1:6">
      <c r="A650" s="56" t="s">
        <v>1991</v>
      </c>
      <c r="B650" s="56" t="s">
        <v>2766</v>
      </c>
      <c r="C650" s="57" t="s">
        <v>177</v>
      </c>
      <c r="D650" s="56" t="s">
        <v>7</v>
      </c>
      <c r="E650" s="59" t="s">
        <v>1993</v>
      </c>
      <c r="F650" s="58"/>
    </row>
    <row r="651" ht="15" customHeight="1" spans="1:6">
      <c r="A651" s="56" t="s">
        <v>1991</v>
      </c>
      <c r="B651" s="56" t="s">
        <v>2767</v>
      </c>
      <c r="C651" s="57" t="s">
        <v>177</v>
      </c>
      <c r="D651" s="56" t="s">
        <v>7</v>
      </c>
      <c r="E651" s="59" t="s">
        <v>1993</v>
      </c>
      <c r="F651" s="58"/>
    </row>
    <row r="652" ht="15" customHeight="1" spans="1:6">
      <c r="A652" s="56" t="s">
        <v>1991</v>
      </c>
      <c r="B652" s="56" t="s">
        <v>2768</v>
      </c>
      <c r="C652" s="57" t="s">
        <v>177</v>
      </c>
      <c r="D652" s="56" t="s">
        <v>7</v>
      </c>
      <c r="E652" s="59" t="s">
        <v>1993</v>
      </c>
      <c r="F652" s="58"/>
    </row>
    <row r="653" ht="15" customHeight="1" spans="1:6">
      <c r="A653" s="56" t="s">
        <v>1991</v>
      </c>
      <c r="B653" s="56" t="s">
        <v>2769</v>
      </c>
      <c r="C653" s="57" t="s">
        <v>177</v>
      </c>
      <c r="D653" s="56" t="s">
        <v>7</v>
      </c>
      <c r="E653" s="59" t="s">
        <v>1993</v>
      </c>
      <c r="F653" s="58"/>
    </row>
    <row r="654" ht="15" customHeight="1" spans="1:6">
      <c r="A654" s="56" t="s">
        <v>1991</v>
      </c>
      <c r="B654" s="56" t="s">
        <v>2770</v>
      </c>
      <c r="C654" s="57" t="s">
        <v>177</v>
      </c>
      <c r="D654" s="56" t="s">
        <v>7</v>
      </c>
      <c r="E654" s="59" t="s">
        <v>1993</v>
      </c>
      <c r="F654" s="58"/>
    </row>
    <row r="655" ht="15" customHeight="1" spans="1:6">
      <c r="A655" s="56" t="s">
        <v>1991</v>
      </c>
      <c r="B655" s="56" t="s">
        <v>2771</v>
      </c>
      <c r="C655" s="57" t="s">
        <v>177</v>
      </c>
      <c r="D655" s="56" t="s">
        <v>7</v>
      </c>
      <c r="E655" s="59" t="s">
        <v>1993</v>
      </c>
      <c r="F655" s="58"/>
    </row>
    <row r="656" ht="15" customHeight="1" spans="1:6">
      <c r="A656" s="56" t="s">
        <v>1991</v>
      </c>
      <c r="B656" s="56" t="s">
        <v>2772</v>
      </c>
      <c r="C656" s="57" t="s">
        <v>177</v>
      </c>
      <c r="D656" s="56" t="s">
        <v>7</v>
      </c>
      <c r="E656" s="59" t="s">
        <v>1993</v>
      </c>
      <c r="F656" s="58"/>
    </row>
    <row r="657" ht="15" customHeight="1" spans="1:6">
      <c r="A657" s="56" t="s">
        <v>1991</v>
      </c>
      <c r="B657" s="56" t="s">
        <v>2773</v>
      </c>
      <c r="C657" s="57" t="s">
        <v>177</v>
      </c>
      <c r="D657" s="56" t="s">
        <v>7</v>
      </c>
      <c r="E657" s="59" t="s">
        <v>1993</v>
      </c>
      <c r="F657" s="58"/>
    </row>
    <row r="658" ht="15" customHeight="1" spans="1:6">
      <c r="A658" s="56" t="s">
        <v>1991</v>
      </c>
      <c r="B658" s="56" t="s">
        <v>2774</v>
      </c>
      <c r="C658" s="57" t="s">
        <v>177</v>
      </c>
      <c r="D658" s="56" t="s">
        <v>7</v>
      </c>
      <c r="E658" s="59" t="s">
        <v>1993</v>
      </c>
      <c r="F658" s="58"/>
    </row>
    <row r="659" ht="15" customHeight="1" spans="1:6">
      <c r="A659" s="56" t="s">
        <v>1991</v>
      </c>
      <c r="B659" s="56" t="s">
        <v>2775</v>
      </c>
      <c r="C659" s="57" t="s">
        <v>364</v>
      </c>
      <c r="D659" s="56" t="s">
        <v>7</v>
      </c>
      <c r="E659" s="59" t="s">
        <v>1993</v>
      </c>
      <c r="F659" s="58"/>
    </row>
    <row r="660" ht="15" customHeight="1" spans="1:6">
      <c r="A660" s="56" t="s">
        <v>1991</v>
      </c>
      <c r="B660" s="56" t="s">
        <v>2776</v>
      </c>
      <c r="C660" s="57" t="s">
        <v>362</v>
      </c>
      <c r="D660" s="56" t="s">
        <v>7</v>
      </c>
      <c r="E660" s="59" t="s">
        <v>1993</v>
      </c>
      <c r="F660" s="58"/>
    </row>
    <row r="661" ht="15" customHeight="1" spans="1:6">
      <c r="A661" s="56" t="s">
        <v>1991</v>
      </c>
      <c r="B661" s="56" t="s">
        <v>2777</v>
      </c>
      <c r="C661" s="57" t="s">
        <v>2427</v>
      </c>
      <c r="D661" s="56" t="s">
        <v>7</v>
      </c>
      <c r="E661" s="59" t="s">
        <v>1993</v>
      </c>
      <c r="F661" s="58"/>
    </row>
    <row r="662" ht="15" customHeight="1" spans="1:6">
      <c r="A662" s="56" t="s">
        <v>1991</v>
      </c>
      <c r="B662" s="56" t="s">
        <v>2778</v>
      </c>
      <c r="C662" s="57" t="s">
        <v>96</v>
      </c>
      <c r="D662" s="56" t="s">
        <v>7</v>
      </c>
      <c r="E662" s="59" t="s">
        <v>1993</v>
      </c>
      <c r="F662" s="58"/>
    </row>
    <row r="663" ht="15" customHeight="1" spans="1:6">
      <c r="A663" s="56" t="s">
        <v>1991</v>
      </c>
      <c r="B663" s="56" t="s">
        <v>2779</v>
      </c>
      <c r="C663" s="57" t="s">
        <v>177</v>
      </c>
      <c r="D663" s="56" t="s">
        <v>7</v>
      </c>
      <c r="E663" s="59" t="s">
        <v>1993</v>
      </c>
      <c r="F663" s="58"/>
    </row>
    <row r="664" ht="15" customHeight="1" spans="1:6">
      <c r="A664" s="56" t="s">
        <v>1991</v>
      </c>
      <c r="B664" s="56" t="s">
        <v>2780</v>
      </c>
      <c r="C664" s="57" t="s">
        <v>177</v>
      </c>
      <c r="D664" s="56" t="s">
        <v>7</v>
      </c>
      <c r="E664" s="59" t="s">
        <v>1993</v>
      </c>
      <c r="F664" s="58"/>
    </row>
    <row r="665" ht="15" customHeight="1" spans="1:6">
      <c r="A665" s="56" t="s">
        <v>1991</v>
      </c>
      <c r="B665" s="56" t="s">
        <v>2781</v>
      </c>
      <c r="C665" s="57" t="s">
        <v>177</v>
      </c>
      <c r="D665" s="56" t="s">
        <v>7</v>
      </c>
      <c r="E665" s="59" t="s">
        <v>1993</v>
      </c>
      <c r="F665" s="58"/>
    </row>
    <row r="666" ht="15" customHeight="1" spans="1:6">
      <c r="A666" s="56" t="s">
        <v>1991</v>
      </c>
      <c r="B666" s="56" t="s">
        <v>2782</v>
      </c>
      <c r="C666" s="57" t="s">
        <v>177</v>
      </c>
      <c r="D666" s="56" t="s">
        <v>7</v>
      </c>
      <c r="E666" s="59" t="s">
        <v>1993</v>
      </c>
      <c r="F666" s="58"/>
    </row>
    <row r="667" ht="15" customHeight="1" spans="1:6">
      <c r="A667" s="56" t="s">
        <v>1991</v>
      </c>
      <c r="B667" s="56" t="s">
        <v>2783</v>
      </c>
      <c r="C667" s="57" t="s">
        <v>177</v>
      </c>
      <c r="D667" s="56" t="s">
        <v>7</v>
      </c>
      <c r="E667" s="59" t="s">
        <v>1993</v>
      </c>
      <c r="F667" s="58"/>
    </row>
    <row r="668" ht="15" customHeight="1" spans="1:6">
      <c r="A668" s="56" t="s">
        <v>1991</v>
      </c>
      <c r="B668" s="56" t="s">
        <v>2784</v>
      </c>
      <c r="C668" s="57" t="s">
        <v>177</v>
      </c>
      <c r="D668" s="56" t="s">
        <v>7</v>
      </c>
      <c r="E668" s="59" t="s">
        <v>1993</v>
      </c>
      <c r="F668" s="58"/>
    </row>
    <row r="669" ht="15" customHeight="1" spans="1:6">
      <c r="A669" s="56" t="s">
        <v>1991</v>
      </c>
      <c r="B669" s="56" t="s">
        <v>2785</v>
      </c>
      <c r="C669" s="57" t="s">
        <v>177</v>
      </c>
      <c r="D669" s="56" t="s">
        <v>7</v>
      </c>
      <c r="E669" s="59" t="s">
        <v>1993</v>
      </c>
      <c r="F669" s="58"/>
    </row>
    <row r="670" ht="15" customHeight="1" spans="1:6">
      <c r="A670" s="56" t="s">
        <v>1991</v>
      </c>
      <c r="B670" s="56" t="s">
        <v>2786</v>
      </c>
      <c r="C670" s="57" t="s">
        <v>177</v>
      </c>
      <c r="D670" s="56" t="s">
        <v>7</v>
      </c>
      <c r="E670" s="59" t="s">
        <v>1993</v>
      </c>
      <c r="F670" s="58"/>
    </row>
    <row r="671" ht="15" customHeight="1" spans="1:6">
      <c r="A671" s="56" t="s">
        <v>1991</v>
      </c>
      <c r="B671" s="56" t="s">
        <v>2787</v>
      </c>
      <c r="C671" s="57" t="s">
        <v>177</v>
      </c>
      <c r="D671" s="56" t="s">
        <v>7</v>
      </c>
      <c r="E671" s="59" t="s">
        <v>1993</v>
      </c>
      <c r="F671" s="58"/>
    </row>
    <row r="672" ht="15" customHeight="1" spans="1:6">
      <c r="A672" s="56" t="s">
        <v>1991</v>
      </c>
      <c r="B672" s="56" t="s">
        <v>2788</v>
      </c>
      <c r="C672" s="57" t="s">
        <v>177</v>
      </c>
      <c r="D672" s="56" t="s">
        <v>7</v>
      </c>
      <c r="E672" s="59" t="s">
        <v>1993</v>
      </c>
      <c r="F672" s="58"/>
    </row>
    <row r="673" ht="15" customHeight="1" spans="1:6">
      <c r="A673" s="56" t="s">
        <v>1991</v>
      </c>
      <c r="B673" s="56" t="s">
        <v>2789</v>
      </c>
      <c r="C673" s="57" t="s">
        <v>177</v>
      </c>
      <c r="D673" s="56" t="s">
        <v>7</v>
      </c>
      <c r="E673" s="59" t="s">
        <v>1993</v>
      </c>
      <c r="F673" s="58"/>
    </row>
    <row r="674" ht="15" customHeight="1" spans="1:6">
      <c r="A674" s="56" t="s">
        <v>1991</v>
      </c>
      <c r="B674" s="56" t="s">
        <v>2790</v>
      </c>
      <c r="C674" s="57" t="s">
        <v>177</v>
      </c>
      <c r="D674" s="56" t="s">
        <v>7</v>
      </c>
      <c r="E674" s="59" t="s">
        <v>1993</v>
      </c>
      <c r="F674" s="58"/>
    </row>
    <row r="675" ht="15" customHeight="1" spans="1:6">
      <c r="A675" s="56" t="s">
        <v>1991</v>
      </c>
      <c r="B675" s="56" t="s">
        <v>2791</v>
      </c>
      <c r="C675" s="57" t="s">
        <v>177</v>
      </c>
      <c r="D675" s="56" t="s">
        <v>7</v>
      </c>
      <c r="E675" s="59" t="s">
        <v>1993</v>
      </c>
      <c r="F675" s="58"/>
    </row>
    <row r="676" ht="15" customHeight="1" spans="1:6">
      <c r="A676" s="56" t="s">
        <v>1991</v>
      </c>
      <c r="B676" s="56" t="s">
        <v>2792</v>
      </c>
      <c r="C676" s="57" t="s">
        <v>177</v>
      </c>
      <c r="D676" s="56" t="s">
        <v>7</v>
      </c>
      <c r="E676" s="59" t="s">
        <v>1993</v>
      </c>
      <c r="F676" s="58"/>
    </row>
    <row r="677" ht="15" customHeight="1" spans="1:6">
      <c r="A677" s="56" t="s">
        <v>1991</v>
      </c>
      <c r="B677" s="56" t="s">
        <v>2793</v>
      </c>
      <c r="C677" s="57" t="s">
        <v>177</v>
      </c>
      <c r="D677" s="56" t="s">
        <v>7</v>
      </c>
      <c r="E677" s="59" t="s">
        <v>1993</v>
      </c>
      <c r="F677" s="58"/>
    </row>
    <row r="678" ht="15" customHeight="1" spans="1:6">
      <c r="A678" s="56" t="s">
        <v>1991</v>
      </c>
      <c r="B678" s="56" t="s">
        <v>2794</v>
      </c>
      <c r="C678" s="57" t="s">
        <v>177</v>
      </c>
      <c r="D678" s="56" t="s">
        <v>7</v>
      </c>
      <c r="E678" s="59" t="s">
        <v>1993</v>
      </c>
      <c r="F678" s="58"/>
    </row>
    <row r="679" ht="15" customHeight="1" spans="1:6">
      <c r="A679" s="56" t="s">
        <v>1991</v>
      </c>
      <c r="B679" s="56" t="s">
        <v>2795</v>
      </c>
      <c r="C679" s="57" t="s">
        <v>177</v>
      </c>
      <c r="D679" s="56" t="s">
        <v>7</v>
      </c>
      <c r="E679" s="59" t="s">
        <v>1993</v>
      </c>
      <c r="F679" s="58"/>
    </row>
    <row r="680" ht="15" customHeight="1" spans="1:6">
      <c r="A680" s="56" t="s">
        <v>1991</v>
      </c>
      <c r="B680" s="56" t="s">
        <v>2796</v>
      </c>
      <c r="C680" s="57" t="s">
        <v>177</v>
      </c>
      <c r="D680" s="56" t="s">
        <v>7</v>
      </c>
      <c r="E680" s="59" t="s">
        <v>1993</v>
      </c>
      <c r="F680" s="58"/>
    </row>
    <row r="681" ht="15" customHeight="1" spans="1:6">
      <c r="A681" s="56" t="s">
        <v>1991</v>
      </c>
      <c r="B681" s="56" t="s">
        <v>2797</v>
      </c>
      <c r="C681" s="57" t="s">
        <v>177</v>
      </c>
      <c r="D681" s="56" t="s">
        <v>7</v>
      </c>
      <c r="E681" s="59" t="s">
        <v>1993</v>
      </c>
      <c r="F681" s="58"/>
    </row>
    <row r="682" ht="15" customHeight="1" spans="1:6">
      <c r="A682" s="56" t="s">
        <v>1991</v>
      </c>
      <c r="B682" s="56" t="s">
        <v>2798</v>
      </c>
      <c r="C682" s="57" t="s">
        <v>177</v>
      </c>
      <c r="D682" s="56" t="s">
        <v>7</v>
      </c>
      <c r="E682" s="59" t="s">
        <v>1993</v>
      </c>
      <c r="F682" s="58"/>
    </row>
    <row r="683" ht="15" customHeight="1" spans="1:6">
      <c r="A683" s="56" t="s">
        <v>1991</v>
      </c>
      <c r="B683" s="56" t="s">
        <v>2799</v>
      </c>
      <c r="C683" s="57" t="s">
        <v>177</v>
      </c>
      <c r="D683" s="56" t="s">
        <v>7</v>
      </c>
      <c r="E683" s="59" t="s">
        <v>1993</v>
      </c>
      <c r="F683" s="58"/>
    </row>
    <row r="684" ht="15" customHeight="1" spans="1:6">
      <c r="A684" s="56" t="s">
        <v>1991</v>
      </c>
      <c r="B684" s="56" t="s">
        <v>2800</v>
      </c>
      <c r="C684" s="57" t="s">
        <v>364</v>
      </c>
      <c r="D684" s="56" t="s">
        <v>7</v>
      </c>
      <c r="E684" s="59" t="s">
        <v>1993</v>
      </c>
      <c r="F684" s="58"/>
    </row>
    <row r="685" ht="15" customHeight="1" spans="1:6">
      <c r="A685" s="56" t="s">
        <v>1991</v>
      </c>
      <c r="B685" s="56" t="s">
        <v>2801</v>
      </c>
      <c r="C685" s="57" t="s">
        <v>362</v>
      </c>
      <c r="D685" s="56" t="s">
        <v>7</v>
      </c>
      <c r="E685" s="59" t="s">
        <v>1993</v>
      </c>
      <c r="F685" s="58"/>
    </row>
    <row r="686" ht="15" customHeight="1" spans="1:6">
      <c r="A686" s="56" t="s">
        <v>1991</v>
      </c>
      <c r="B686" s="56" t="s">
        <v>2802</v>
      </c>
      <c r="C686" s="57" t="s">
        <v>2427</v>
      </c>
      <c r="D686" s="56" t="s">
        <v>7</v>
      </c>
      <c r="E686" s="59" t="s">
        <v>1993</v>
      </c>
      <c r="F686" s="58"/>
    </row>
    <row r="687" ht="15" customHeight="1" spans="1:6">
      <c r="A687" s="56" t="s">
        <v>1991</v>
      </c>
      <c r="B687" s="56" t="s">
        <v>2803</v>
      </c>
      <c r="C687" s="57" t="s">
        <v>177</v>
      </c>
      <c r="D687" s="56" t="s">
        <v>7</v>
      </c>
      <c r="E687" s="59" t="s">
        <v>1993</v>
      </c>
      <c r="F687" s="58"/>
    </row>
    <row r="688" ht="15" customHeight="1" spans="1:6">
      <c r="A688" s="56" t="s">
        <v>1991</v>
      </c>
      <c r="B688" s="56" t="s">
        <v>2804</v>
      </c>
      <c r="C688" s="57" t="s">
        <v>177</v>
      </c>
      <c r="D688" s="56" t="s">
        <v>7</v>
      </c>
      <c r="E688" s="59" t="s">
        <v>1993</v>
      </c>
      <c r="F688" s="58"/>
    </row>
    <row r="689" ht="15" customHeight="1" spans="1:6">
      <c r="A689" s="56" t="s">
        <v>1991</v>
      </c>
      <c r="B689" s="56" t="s">
        <v>2805</v>
      </c>
      <c r="C689" s="57" t="s">
        <v>177</v>
      </c>
      <c r="D689" s="56" t="s">
        <v>7</v>
      </c>
      <c r="E689" s="59" t="s">
        <v>1993</v>
      </c>
      <c r="F689" s="58"/>
    </row>
    <row r="690" ht="15" customHeight="1" spans="1:6">
      <c r="A690" s="56" t="s">
        <v>1991</v>
      </c>
      <c r="B690" s="56" t="s">
        <v>2806</v>
      </c>
      <c r="C690" s="57" t="s">
        <v>177</v>
      </c>
      <c r="D690" s="56" t="s">
        <v>7</v>
      </c>
      <c r="E690" s="59" t="s">
        <v>1993</v>
      </c>
      <c r="F690" s="58"/>
    </row>
    <row r="691" ht="15" customHeight="1" spans="1:6">
      <c r="A691" s="56" t="s">
        <v>1991</v>
      </c>
      <c r="B691" s="56" t="s">
        <v>2807</v>
      </c>
      <c r="C691" s="57" t="s">
        <v>177</v>
      </c>
      <c r="D691" s="56" t="s">
        <v>7</v>
      </c>
      <c r="E691" s="59" t="s">
        <v>1993</v>
      </c>
      <c r="F691" s="58"/>
    </row>
    <row r="692" ht="15" customHeight="1" spans="1:6">
      <c r="A692" s="56" t="s">
        <v>1991</v>
      </c>
      <c r="B692" s="56" t="s">
        <v>2808</v>
      </c>
      <c r="C692" s="57" t="s">
        <v>177</v>
      </c>
      <c r="D692" s="56" t="s">
        <v>7</v>
      </c>
      <c r="E692" s="59" t="s">
        <v>1993</v>
      </c>
      <c r="F692" s="58"/>
    </row>
    <row r="693" ht="15" customHeight="1" spans="1:6">
      <c r="A693" s="56" t="s">
        <v>1991</v>
      </c>
      <c r="B693" s="56" t="s">
        <v>2809</v>
      </c>
      <c r="C693" s="57" t="s">
        <v>177</v>
      </c>
      <c r="D693" s="56" t="s">
        <v>7</v>
      </c>
      <c r="E693" s="59" t="s">
        <v>1993</v>
      </c>
      <c r="F693" s="58"/>
    </row>
    <row r="694" ht="15" customHeight="1" spans="1:6">
      <c r="A694" s="56" t="s">
        <v>1991</v>
      </c>
      <c r="B694" s="56" t="s">
        <v>2810</v>
      </c>
      <c r="C694" s="57" t="s">
        <v>177</v>
      </c>
      <c r="D694" s="56" t="s">
        <v>7</v>
      </c>
      <c r="E694" s="59" t="s">
        <v>1993</v>
      </c>
      <c r="F694" s="58"/>
    </row>
    <row r="695" ht="15" customHeight="1" spans="1:6">
      <c r="A695" s="56" t="s">
        <v>1991</v>
      </c>
      <c r="B695" s="56" t="s">
        <v>2811</v>
      </c>
      <c r="C695" s="57" t="s">
        <v>177</v>
      </c>
      <c r="D695" s="56" t="s">
        <v>7</v>
      </c>
      <c r="E695" s="59" t="s">
        <v>1993</v>
      </c>
      <c r="F695" s="58"/>
    </row>
    <row r="696" ht="15" customHeight="1" spans="1:6">
      <c r="A696" s="56" t="s">
        <v>1991</v>
      </c>
      <c r="B696" s="56" t="s">
        <v>2812</v>
      </c>
      <c r="C696" s="57" t="s">
        <v>177</v>
      </c>
      <c r="D696" s="56" t="s">
        <v>7</v>
      </c>
      <c r="E696" s="59" t="s">
        <v>1993</v>
      </c>
      <c r="F696" s="58"/>
    </row>
    <row r="697" ht="15" customHeight="1" spans="1:6">
      <c r="A697" s="56" t="s">
        <v>1991</v>
      </c>
      <c r="B697" s="56" t="s">
        <v>2813</v>
      </c>
      <c r="C697" s="57" t="s">
        <v>177</v>
      </c>
      <c r="D697" s="56" t="s">
        <v>7</v>
      </c>
      <c r="E697" s="59" t="s">
        <v>1993</v>
      </c>
      <c r="F697" s="58"/>
    </row>
    <row r="698" ht="15" customHeight="1" spans="1:6">
      <c r="A698" s="56" t="s">
        <v>1991</v>
      </c>
      <c r="B698" s="56" t="s">
        <v>2814</v>
      </c>
      <c r="C698" s="57" t="s">
        <v>177</v>
      </c>
      <c r="D698" s="56" t="s">
        <v>7</v>
      </c>
      <c r="E698" s="59" t="s">
        <v>1993</v>
      </c>
      <c r="F698" s="58"/>
    </row>
    <row r="699" ht="15" customHeight="1" spans="1:6">
      <c r="A699" s="56" t="s">
        <v>1991</v>
      </c>
      <c r="B699" s="56" t="s">
        <v>2815</v>
      </c>
      <c r="C699" s="57" t="s">
        <v>177</v>
      </c>
      <c r="D699" s="56" t="s">
        <v>7</v>
      </c>
      <c r="E699" s="59" t="s">
        <v>1993</v>
      </c>
      <c r="F699" s="58"/>
    </row>
    <row r="700" ht="15" customHeight="1" spans="1:6">
      <c r="A700" s="56" t="s">
        <v>1991</v>
      </c>
      <c r="B700" s="56" t="s">
        <v>2816</v>
      </c>
      <c r="C700" s="57" t="s">
        <v>177</v>
      </c>
      <c r="D700" s="56" t="s">
        <v>7</v>
      </c>
      <c r="E700" s="59" t="s">
        <v>1993</v>
      </c>
      <c r="F700" s="58"/>
    </row>
    <row r="701" ht="15" customHeight="1" spans="1:6">
      <c r="A701" s="56" t="s">
        <v>1991</v>
      </c>
      <c r="B701" s="56" t="s">
        <v>2817</v>
      </c>
      <c r="C701" s="57" t="s">
        <v>177</v>
      </c>
      <c r="D701" s="56" t="s">
        <v>7</v>
      </c>
      <c r="E701" s="59" t="s">
        <v>1993</v>
      </c>
      <c r="F701" s="58"/>
    </row>
    <row r="702" ht="15" customHeight="1" spans="1:6">
      <c r="A702" s="56" t="s">
        <v>1991</v>
      </c>
      <c r="B702" s="56" t="s">
        <v>2818</v>
      </c>
      <c r="C702" s="57" t="s">
        <v>177</v>
      </c>
      <c r="D702" s="56" t="s">
        <v>7</v>
      </c>
      <c r="E702" s="59" t="s">
        <v>1993</v>
      </c>
      <c r="F702" s="58"/>
    </row>
    <row r="703" ht="15" customHeight="1" spans="1:6">
      <c r="A703" s="56" t="s">
        <v>1991</v>
      </c>
      <c r="B703" s="56" t="s">
        <v>2819</v>
      </c>
      <c r="C703" s="57" t="s">
        <v>177</v>
      </c>
      <c r="D703" s="56" t="s">
        <v>7</v>
      </c>
      <c r="E703" s="59" t="s">
        <v>1993</v>
      </c>
      <c r="F703" s="58"/>
    </row>
    <row r="704" ht="15" customHeight="1" spans="1:6">
      <c r="A704" s="56" t="s">
        <v>1991</v>
      </c>
      <c r="B704" s="56" t="s">
        <v>2820</v>
      </c>
      <c r="C704" s="57" t="s">
        <v>177</v>
      </c>
      <c r="D704" s="56" t="s">
        <v>7</v>
      </c>
      <c r="E704" s="59" t="s">
        <v>1993</v>
      </c>
      <c r="F704" s="58"/>
    </row>
    <row r="705" ht="15" customHeight="1" spans="1:6">
      <c r="A705" s="56" t="s">
        <v>1991</v>
      </c>
      <c r="B705" s="56" t="s">
        <v>2821</v>
      </c>
      <c r="C705" s="57" t="s">
        <v>177</v>
      </c>
      <c r="D705" s="56" t="s">
        <v>7</v>
      </c>
      <c r="E705" s="59" t="s">
        <v>1993</v>
      </c>
      <c r="F705" s="58"/>
    </row>
    <row r="706" ht="15" customHeight="1" spans="1:6">
      <c r="A706" s="56" t="s">
        <v>1991</v>
      </c>
      <c r="B706" s="56" t="s">
        <v>2822</v>
      </c>
      <c r="C706" s="57" t="s">
        <v>177</v>
      </c>
      <c r="D706" s="56" t="s">
        <v>7</v>
      </c>
      <c r="E706" s="59" t="s">
        <v>1993</v>
      </c>
      <c r="F706" s="58"/>
    </row>
    <row r="707" ht="15" customHeight="1" spans="1:6">
      <c r="A707" s="56" t="s">
        <v>1991</v>
      </c>
      <c r="B707" s="56" t="s">
        <v>2823</v>
      </c>
      <c r="C707" s="57" t="s">
        <v>364</v>
      </c>
      <c r="D707" s="56" t="s">
        <v>7</v>
      </c>
      <c r="E707" s="59" t="s">
        <v>1993</v>
      </c>
      <c r="F707" s="58"/>
    </row>
    <row r="708" ht="15" customHeight="1" spans="1:6">
      <c r="A708" s="56" t="s">
        <v>1991</v>
      </c>
      <c r="B708" s="56" t="s">
        <v>2824</v>
      </c>
      <c r="C708" s="57" t="s">
        <v>362</v>
      </c>
      <c r="D708" s="56" t="s">
        <v>7</v>
      </c>
      <c r="E708" s="59" t="s">
        <v>1993</v>
      </c>
      <c r="F708" s="58"/>
    </row>
    <row r="709" ht="15" customHeight="1" spans="1:6">
      <c r="A709" s="56" t="s">
        <v>1991</v>
      </c>
      <c r="B709" s="56" t="s">
        <v>2825</v>
      </c>
      <c r="C709" s="57" t="s">
        <v>2427</v>
      </c>
      <c r="D709" s="56" t="s">
        <v>7</v>
      </c>
      <c r="E709" s="59" t="s">
        <v>1993</v>
      </c>
      <c r="F709" s="58"/>
    </row>
    <row r="710" ht="15" customHeight="1" spans="1:6">
      <c r="A710" s="56" t="s">
        <v>1991</v>
      </c>
      <c r="B710" s="56" t="s">
        <v>2826</v>
      </c>
      <c r="C710" s="57" t="s">
        <v>177</v>
      </c>
      <c r="D710" s="56" t="s">
        <v>7</v>
      </c>
      <c r="E710" s="59" t="s">
        <v>1993</v>
      </c>
      <c r="F710" s="58"/>
    </row>
    <row r="711" ht="15" customHeight="1" spans="1:6">
      <c r="A711" s="56" t="s">
        <v>1991</v>
      </c>
      <c r="B711" s="56" t="s">
        <v>2827</v>
      </c>
      <c r="C711" s="57" t="s">
        <v>177</v>
      </c>
      <c r="D711" s="56" t="s">
        <v>7</v>
      </c>
      <c r="E711" s="59" t="s">
        <v>1993</v>
      </c>
      <c r="F711" s="58"/>
    </row>
    <row r="712" ht="15" customHeight="1" spans="1:6">
      <c r="A712" s="56" t="s">
        <v>1991</v>
      </c>
      <c r="B712" s="56" t="s">
        <v>2828</v>
      </c>
      <c r="C712" s="57" t="s">
        <v>177</v>
      </c>
      <c r="D712" s="56" t="s">
        <v>7</v>
      </c>
      <c r="E712" s="59" t="s">
        <v>1993</v>
      </c>
      <c r="F712" s="58"/>
    </row>
    <row r="713" ht="15" customHeight="1" spans="1:6">
      <c r="A713" s="56" t="s">
        <v>1991</v>
      </c>
      <c r="B713" s="56" t="s">
        <v>2829</v>
      </c>
      <c r="C713" s="57" t="s">
        <v>177</v>
      </c>
      <c r="D713" s="56" t="s">
        <v>7</v>
      </c>
      <c r="E713" s="59" t="s">
        <v>1993</v>
      </c>
      <c r="F713" s="58"/>
    </row>
    <row r="714" ht="15" customHeight="1" spans="1:6">
      <c r="A714" s="56" t="s">
        <v>1991</v>
      </c>
      <c r="B714" s="56" t="s">
        <v>2830</v>
      </c>
      <c r="C714" s="57" t="s">
        <v>177</v>
      </c>
      <c r="D714" s="56" t="s">
        <v>7</v>
      </c>
      <c r="E714" s="59" t="s">
        <v>1993</v>
      </c>
      <c r="F714" s="58"/>
    </row>
    <row r="715" ht="15" customHeight="1" spans="1:6">
      <c r="A715" s="56" t="s">
        <v>1991</v>
      </c>
      <c r="B715" s="56" t="s">
        <v>2831</v>
      </c>
      <c r="C715" s="57" t="s">
        <v>177</v>
      </c>
      <c r="D715" s="56" t="s">
        <v>7</v>
      </c>
      <c r="E715" s="59" t="s">
        <v>1993</v>
      </c>
      <c r="F715" s="58"/>
    </row>
    <row r="716" ht="15" customHeight="1" spans="1:6">
      <c r="A716" s="56" t="s">
        <v>1991</v>
      </c>
      <c r="B716" s="56" t="s">
        <v>2832</v>
      </c>
      <c r="C716" s="57" t="s">
        <v>177</v>
      </c>
      <c r="D716" s="56" t="s">
        <v>7</v>
      </c>
      <c r="E716" s="59" t="s">
        <v>1993</v>
      </c>
      <c r="F716" s="58"/>
    </row>
    <row r="717" ht="15" customHeight="1" spans="1:6">
      <c r="A717" s="56" t="s">
        <v>1991</v>
      </c>
      <c r="B717" s="56" t="s">
        <v>2833</v>
      </c>
      <c r="C717" s="57" t="s">
        <v>177</v>
      </c>
      <c r="D717" s="56" t="s">
        <v>7</v>
      </c>
      <c r="E717" s="59" t="s">
        <v>1993</v>
      </c>
      <c r="F717" s="58"/>
    </row>
    <row r="718" ht="15" customHeight="1" spans="1:6">
      <c r="A718" s="56" t="s">
        <v>1991</v>
      </c>
      <c r="B718" s="56" t="s">
        <v>2834</v>
      </c>
      <c r="C718" s="57" t="s">
        <v>177</v>
      </c>
      <c r="D718" s="56" t="s">
        <v>7</v>
      </c>
      <c r="E718" s="59" t="s">
        <v>1993</v>
      </c>
      <c r="F718" s="58"/>
    </row>
    <row r="719" ht="15" customHeight="1" spans="1:6">
      <c r="A719" s="56" t="s">
        <v>1991</v>
      </c>
      <c r="B719" s="56" t="s">
        <v>2835</v>
      </c>
      <c r="C719" s="57" t="s">
        <v>177</v>
      </c>
      <c r="D719" s="56" t="s">
        <v>7</v>
      </c>
      <c r="E719" s="59" t="s">
        <v>1993</v>
      </c>
      <c r="F719" s="58"/>
    </row>
    <row r="720" ht="15" customHeight="1" spans="1:6">
      <c r="A720" s="56" t="s">
        <v>1991</v>
      </c>
      <c r="B720" s="56" t="s">
        <v>2836</v>
      </c>
      <c r="C720" s="57" t="s">
        <v>177</v>
      </c>
      <c r="D720" s="56" t="s">
        <v>7</v>
      </c>
      <c r="E720" s="59" t="s">
        <v>1993</v>
      </c>
      <c r="F720" s="58"/>
    </row>
    <row r="721" ht="15" customHeight="1" spans="1:6">
      <c r="A721" s="56" t="s">
        <v>1991</v>
      </c>
      <c r="B721" s="56" t="s">
        <v>2837</v>
      </c>
      <c r="C721" s="57" t="s">
        <v>177</v>
      </c>
      <c r="D721" s="56" t="s">
        <v>7</v>
      </c>
      <c r="E721" s="59" t="s">
        <v>1993</v>
      </c>
      <c r="F721" s="58"/>
    </row>
    <row r="722" ht="15" customHeight="1" spans="1:6">
      <c r="A722" s="56" t="s">
        <v>1991</v>
      </c>
      <c r="B722" s="56" t="s">
        <v>2838</v>
      </c>
      <c r="C722" s="57" t="s">
        <v>177</v>
      </c>
      <c r="D722" s="56" t="s">
        <v>7</v>
      </c>
      <c r="E722" s="59" t="s">
        <v>1993</v>
      </c>
      <c r="F722" s="58"/>
    </row>
    <row r="723" ht="15" customHeight="1" spans="1:6">
      <c r="A723" s="56" t="s">
        <v>1991</v>
      </c>
      <c r="B723" s="56" t="s">
        <v>2839</v>
      </c>
      <c r="C723" s="57" t="s">
        <v>177</v>
      </c>
      <c r="D723" s="56" t="s">
        <v>7</v>
      </c>
      <c r="E723" s="59" t="s">
        <v>1993</v>
      </c>
      <c r="F723" s="58"/>
    </row>
    <row r="724" ht="15" customHeight="1" spans="1:6">
      <c r="A724" s="56" t="s">
        <v>1991</v>
      </c>
      <c r="B724" s="56" t="s">
        <v>2840</v>
      </c>
      <c r="C724" s="57" t="s">
        <v>177</v>
      </c>
      <c r="D724" s="56" t="s">
        <v>7</v>
      </c>
      <c r="E724" s="59" t="s">
        <v>1993</v>
      </c>
      <c r="F724" s="58"/>
    </row>
    <row r="725" ht="15" customHeight="1" spans="1:6">
      <c r="A725" s="56" t="s">
        <v>1991</v>
      </c>
      <c r="B725" s="56" t="s">
        <v>2841</v>
      </c>
      <c r="C725" s="57" t="s">
        <v>177</v>
      </c>
      <c r="D725" s="56" t="s">
        <v>7</v>
      </c>
      <c r="E725" s="59" t="s">
        <v>1993</v>
      </c>
      <c r="F725" s="58"/>
    </row>
    <row r="726" ht="15" customHeight="1" spans="1:6">
      <c r="A726" s="56" t="s">
        <v>1991</v>
      </c>
      <c r="B726" s="56" t="s">
        <v>2842</v>
      </c>
      <c r="C726" s="57" t="s">
        <v>177</v>
      </c>
      <c r="D726" s="56" t="s">
        <v>7</v>
      </c>
      <c r="E726" s="59" t="s">
        <v>1993</v>
      </c>
      <c r="F726" s="58"/>
    </row>
    <row r="727" ht="15" customHeight="1" spans="1:6">
      <c r="A727" s="56" t="s">
        <v>1991</v>
      </c>
      <c r="B727" s="56" t="s">
        <v>2843</v>
      </c>
      <c r="C727" s="57" t="s">
        <v>177</v>
      </c>
      <c r="D727" s="56" t="s">
        <v>7</v>
      </c>
      <c r="E727" s="59" t="s">
        <v>1993</v>
      </c>
      <c r="F727" s="58"/>
    </row>
    <row r="728" ht="15" customHeight="1" spans="1:6">
      <c r="A728" s="56" t="s">
        <v>1991</v>
      </c>
      <c r="B728" s="56" t="s">
        <v>2844</v>
      </c>
      <c r="C728" s="57" t="s">
        <v>177</v>
      </c>
      <c r="D728" s="56" t="s">
        <v>7</v>
      </c>
      <c r="E728" s="59" t="s">
        <v>1993</v>
      </c>
      <c r="F728" s="58"/>
    </row>
    <row r="729" ht="15" customHeight="1" spans="1:6">
      <c r="A729" s="56" t="s">
        <v>1991</v>
      </c>
      <c r="B729" s="56" t="s">
        <v>2845</v>
      </c>
      <c r="C729" s="57" t="s">
        <v>177</v>
      </c>
      <c r="D729" s="56" t="s">
        <v>7</v>
      </c>
      <c r="E729" s="59" t="s">
        <v>1993</v>
      </c>
      <c r="F729" s="58"/>
    </row>
    <row r="730" ht="15" customHeight="1" spans="1:6">
      <c r="A730" s="56" t="s">
        <v>1991</v>
      </c>
      <c r="B730" s="56" t="s">
        <v>2846</v>
      </c>
      <c r="C730" s="57" t="s">
        <v>177</v>
      </c>
      <c r="D730" s="56" t="s">
        <v>7</v>
      </c>
      <c r="E730" s="59" t="s">
        <v>1993</v>
      </c>
      <c r="F730" s="58"/>
    </row>
    <row r="731" ht="15" customHeight="1" spans="1:6">
      <c r="A731" s="56" t="s">
        <v>1991</v>
      </c>
      <c r="B731" s="56" t="s">
        <v>2847</v>
      </c>
      <c r="C731" s="57" t="s">
        <v>364</v>
      </c>
      <c r="D731" s="56" t="s">
        <v>7</v>
      </c>
      <c r="E731" s="59" t="s">
        <v>1993</v>
      </c>
      <c r="F731" s="58"/>
    </row>
    <row r="732" ht="15" customHeight="1" spans="1:6">
      <c r="A732" s="56" t="s">
        <v>1991</v>
      </c>
      <c r="B732" s="56" t="s">
        <v>2848</v>
      </c>
      <c r="C732" s="57" t="s">
        <v>362</v>
      </c>
      <c r="D732" s="56" t="s">
        <v>7</v>
      </c>
      <c r="E732" s="59" t="s">
        <v>1993</v>
      </c>
      <c r="F732" s="58"/>
    </row>
    <row r="733" ht="15" customHeight="1" spans="1:6">
      <c r="A733" s="56" t="s">
        <v>1991</v>
      </c>
      <c r="B733" s="56" t="s">
        <v>2849</v>
      </c>
      <c r="C733" s="57" t="s">
        <v>2427</v>
      </c>
      <c r="D733" s="56" t="s">
        <v>7</v>
      </c>
      <c r="E733" s="59" t="s">
        <v>1993</v>
      </c>
      <c r="F733" s="58"/>
    </row>
    <row r="734" ht="15" customHeight="1" spans="1:6">
      <c r="A734" s="56" t="s">
        <v>1991</v>
      </c>
      <c r="B734" s="56" t="s">
        <v>2850</v>
      </c>
      <c r="C734" s="57" t="s">
        <v>177</v>
      </c>
      <c r="D734" s="56" t="s">
        <v>7</v>
      </c>
      <c r="E734" s="59" t="s">
        <v>1993</v>
      </c>
      <c r="F734" s="58"/>
    </row>
    <row r="735" ht="15" customHeight="1" spans="1:6">
      <c r="A735" s="56" t="s">
        <v>1991</v>
      </c>
      <c r="B735" s="56" t="s">
        <v>2851</v>
      </c>
      <c r="C735" s="57" t="s">
        <v>177</v>
      </c>
      <c r="D735" s="56" t="s">
        <v>7</v>
      </c>
      <c r="E735" s="59" t="s">
        <v>1993</v>
      </c>
      <c r="F735" s="58"/>
    </row>
    <row r="736" ht="15" customHeight="1" spans="1:6">
      <c r="A736" s="56" t="s">
        <v>1991</v>
      </c>
      <c r="B736" s="56" t="s">
        <v>2852</v>
      </c>
      <c r="C736" s="57" t="s">
        <v>177</v>
      </c>
      <c r="D736" s="56" t="s">
        <v>7</v>
      </c>
      <c r="E736" s="59" t="s">
        <v>1993</v>
      </c>
      <c r="F736" s="58"/>
    </row>
    <row r="737" ht="15" customHeight="1" spans="1:6">
      <c r="A737" s="56" t="s">
        <v>1991</v>
      </c>
      <c r="B737" s="56" t="s">
        <v>2853</v>
      </c>
      <c r="C737" s="57" t="s">
        <v>177</v>
      </c>
      <c r="D737" s="56" t="s">
        <v>7</v>
      </c>
      <c r="E737" s="59" t="s">
        <v>1993</v>
      </c>
      <c r="F737" s="58"/>
    </row>
    <row r="738" ht="15" customHeight="1" spans="1:6">
      <c r="A738" s="56" t="s">
        <v>1991</v>
      </c>
      <c r="B738" s="56" t="s">
        <v>2854</v>
      </c>
      <c r="C738" s="57" t="s">
        <v>177</v>
      </c>
      <c r="D738" s="56" t="s">
        <v>7</v>
      </c>
      <c r="E738" s="59" t="s">
        <v>1993</v>
      </c>
      <c r="F738" s="58"/>
    </row>
    <row r="739" ht="15" customHeight="1" spans="1:6">
      <c r="A739" s="56" t="s">
        <v>1991</v>
      </c>
      <c r="B739" s="56" t="s">
        <v>2855</v>
      </c>
      <c r="C739" s="57" t="s">
        <v>177</v>
      </c>
      <c r="D739" s="56" t="s">
        <v>7</v>
      </c>
      <c r="E739" s="59" t="s">
        <v>1993</v>
      </c>
      <c r="F739" s="58"/>
    </row>
    <row r="740" ht="15" customHeight="1" spans="1:6">
      <c r="A740" s="56" t="s">
        <v>1991</v>
      </c>
      <c r="B740" s="56" t="s">
        <v>2856</v>
      </c>
      <c r="C740" s="57" t="s">
        <v>177</v>
      </c>
      <c r="D740" s="56" t="s">
        <v>7</v>
      </c>
      <c r="E740" s="59" t="s">
        <v>1993</v>
      </c>
      <c r="F740" s="58"/>
    </row>
    <row r="741" ht="15" customHeight="1" spans="1:6">
      <c r="A741" s="56" t="s">
        <v>1991</v>
      </c>
      <c r="B741" s="56" t="s">
        <v>2857</v>
      </c>
      <c r="C741" s="57" t="s">
        <v>177</v>
      </c>
      <c r="D741" s="56" t="s">
        <v>7</v>
      </c>
      <c r="E741" s="59" t="s">
        <v>1993</v>
      </c>
      <c r="F741" s="58"/>
    </row>
    <row r="742" ht="15" customHeight="1" spans="1:6">
      <c r="A742" s="56" t="s">
        <v>1991</v>
      </c>
      <c r="B742" s="56" t="s">
        <v>2858</v>
      </c>
      <c r="C742" s="57" t="s">
        <v>177</v>
      </c>
      <c r="D742" s="56" t="s">
        <v>7</v>
      </c>
      <c r="E742" s="59" t="s">
        <v>1993</v>
      </c>
      <c r="F742" s="58"/>
    </row>
    <row r="743" ht="15" customHeight="1" spans="1:6">
      <c r="A743" s="56" t="s">
        <v>1991</v>
      </c>
      <c r="B743" s="56" t="s">
        <v>2859</v>
      </c>
      <c r="C743" s="57" t="s">
        <v>177</v>
      </c>
      <c r="D743" s="56" t="s">
        <v>7</v>
      </c>
      <c r="E743" s="59" t="s">
        <v>1993</v>
      </c>
      <c r="F743" s="58"/>
    </row>
    <row r="744" ht="15" customHeight="1" spans="1:6">
      <c r="A744" s="56" t="s">
        <v>1991</v>
      </c>
      <c r="B744" s="56" t="s">
        <v>2860</v>
      </c>
      <c r="C744" s="57" t="s">
        <v>177</v>
      </c>
      <c r="D744" s="56" t="s">
        <v>7</v>
      </c>
      <c r="E744" s="59" t="s">
        <v>1993</v>
      </c>
      <c r="F744" s="58"/>
    </row>
    <row r="745" ht="15" customHeight="1" spans="1:6">
      <c r="A745" s="56" t="s">
        <v>1991</v>
      </c>
      <c r="B745" s="56" t="s">
        <v>2861</v>
      </c>
      <c r="C745" s="57" t="s">
        <v>177</v>
      </c>
      <c r="D745" s="56" t="s">
        <v>7</v>
      </c>
      <c r="E745" s="59" t="s">
        <v>1993</v>
      </c>
      <c r="F745" s="58"/>
    </row>
    <row r="746" ht="15" customHeight="1" spans="1:6">
      <c r="A746" s="56" t="s">
        <v>1991</v>
      </c>
      <c r="B746" s="56" t="s">
        <v>2862</v>
      </c>
      <c r="C746" s="57" t="s">
        <v>177</v>
      </c>
      <c r="D746" s="56" t="s">
        <v>7</v>
      </c>
      <c r="E746" s="59" t="s">
        <v>1993</v>
      </c>
      <c r="F746" s="58"/>
    </row>
    <row r="747" ht="15" customHeight="1" spans="1:6">
      <c r="A747" s="56" t="s">
        <v>1991</v>
      </c>
      <c r="B747" s="56" t="s">
        <v>2863</v>
      </c>
      <c r="C747" s="57" t="s">
        <v>177</v>
      </c>
      <c r="D747" s="56" t="s">
        <v>7</v>
      </c>
      <c r="E747" s="59" t="s">
        <v>1993</v>
      </c>
      <c r="F747" s="58"/>
    </row>
    <row r="748" ht="15" customHeight="1" spans="1:6">
      <c r="A748" s="56" t="s">
        <v>1991</v>
      </c>
      <c r="B748" s="56" t="s">
        <v>2864</v>
      </c>
      <c r="C748" s="57" t="s">
        <v>177</v>
      </c>
      <c r="D748" s="56" t="s">
        <v>7</v>
      </c>
      <c r="E748" s="59" t="s">
        <v>1993</v>
      </c>
      <c r="F748" s="58"/>
    </row>
    <row r="749" ht="15" customHeight="1" spans="1:6">
      <c r="A749" s="56" t="s">
        <v>1991</v>
      </c>
      <c r="B749" s="56" t="s">
        <v>2865</v>
      </c>
      <c r="C749" s="57" t="s">
        <v>177</v>
      </c>
      <c r="D749" s="56" t="s">
        <v>7</v>
      </c>
      <c r="E749" s="59" t="s">
        <v>1993</v>
      </c>
      <c r="F749" s="58"/>
    </row>
    <row r="750" ht="15" customHeight="1" spans="1:6">
      <c r="A750" s="56" t="s">
        <v>1991</v>
      </c>
      <c r="B750" s="56" t="s">
        <v>2866</v>
      </c>
      <c r="C750" s="57" t="s">
        <v>177</v>
      </c>
      <c r="D750" s="56" t="s">
        <v>7</v>
      </c>
      <c r="E750" s="59" t="s">
        <v>1993</v>
      </c>
      <c r="F750" s="58"/>
    </row>
    <row r="751" ht="15" customHeight="1" spans="1:6">
      <c r="A751" s="56" t="s">
        <v>1991</v>
      </c>
      <c r="B751" s="56" t="s">
        <v>2867</v>
      </c>
      <c r="C751" s="57" t="s">
        <v>177</v>
      </c>
      <c r="D751" s="56" t="s">
        <v>7</v>
      </c>
      <c r="E751" s="59" t="s">
        <v>1993</v>
      </c>
      <c r="F751" s="58"/>
    </row>
    <row r="752" ht="15" customHeight="1" spans="1:6">
      <c r="A752" s="56" t="s">
        <v>1991</v>
      </c>
      <c r="B752" s="56" t="s">
        <v>2868</v>
      </c>
      <c r="C752" s="57" t="s">
        <v>177</v>
      </c>
      <c r="D752" s="56" t="s">
        <v>7</v>
      </c>
      <c r="E752" s="59" t="s">
        <v>1993</v>
      </c>
      <c r="F752" s="58"/>
    </row>
    <row r="753" ht="15" customHeight="1" spans="1:6">
      <c r="A753" s="56" t="s">
        <v>1991</v>
      </c>
      <c r="B753" s="56" t="s">
        <v>2869</v>
      </c>
      <c r="C753" s="57" t="s">
        <v>364</v>
      </c>
      <c r="D753" s="56" t="s">
        <v>7</v>
      </c>
      <c r="E753" s="59" t="s">
        <v>1993</v>
      </c>
      <c r="F753" s="58"/>
    </row>
    <row r="754" ht="15" customHeight="1" spans="1:6">
      <c r="A754" s="56" t="s">
        <v>1991</v>
      </c>
      <c r="B754" s="56" t="s">
        <v>2870</v>
      </c>
      <c r="C754" s="57" t="s">
        <v>362</v>
      </c>
      <c r="D754" s="56" t="s">
        <v>7</v>
      </c>
      <c r="E754" s="59" t="s">
        <v>1993</v>
      </c>
      <c r="F754" s="58"/>
    </row>
    <row r="755" ht="15" customHeight="1" spans="1:6">
      <c r="A755" s="56" t="s">
        <v>1991</v>
      </c>
      <c r="B755" s="56" t="s">
        <v>2871</v>
      </c>
      <c r="C755" s="57" t="s">
        <v>2427</v>
      </c>
      <c r="D755" s="56" t="s">
        <v>7</v>
      </c>
      <c r="E755" s="59" t="s">
        <v>1993</v>
      </c>
      <c r="F755" s="58"/>
    </row>
    <row r="756" ht="15" customHeight="1" spans="1:6">
      <c r="A756" s="56" t="s">
        <v>1991</v>
      </c>
      <c r="B756" s="56" t="s">
        <v>2872</v>
      </c>
      <c r="C756" s="57" t="s">
        <v>96</v>
      </c>
      <c r="D756" s="56" t="s">
        <v>7</v>
      </c>
      <c r="E756" s="59" t="s">
        <v>1993</v>
      </c>
      <c r="F756" s="58"/>
    </row>
    <row r="757" ht="15" customHeight="1" spans="1:6">
      <c r="A757" s="56" t="s">
        <v>1991</v>
      </c>
      <c r="B757" s="56" t="s">
        <v>2873</v>
      </c>
      <c r="C757" s="57" t="s">
        <v>177</v>
      </c>
      <c r="D757" s="56" t="s">
        <v>7</v>
      </c>
      <c r="E757" s="59" t="s">
        <v>1993</v>
      </c>
      <c r="F757" s="58"/>
    </row>
    <row r="758" ht="15" customHeight="1" spans="1:6">
      <c r="A758" s="56" t="s">
        <v>1991</v>
      </c>
      <c r="B758" s="56" t="s">
        <v>2874</v>
      </c>
      <c r="C758" s="57" t="s">
        <v>177</v>
      </c>
      <c r="D758" s="56" t="s">
        <v>7</v>
      </c>
      <c r="E758" s="59" t="s">
        <v>1993</v>
      </c>
      <c r="F758" s="58"/>
    </row>
    <row r="759" ht="15" customHeight="1" spans="1:6">
      <c r="A759" s="56" t="s">
        <v>1991</v>
      </c>
      <c r="B759" s="56" t="s">
        <v>2875</v>
      </c>
      <c r="C759" s="57" t="s">
        <v>177</v>
      </c>
      <c r="D759" s="56" t="s">
        <v>7</v>
      </c>
      <c r="E759" s="59" t="s">
        <v>1993</v>
      </c>
      <c r="F759" s="58"/>
    </row>
    <row r="760" ht="15" customHeight="1" spans="1:6">
      <c r="A760" s="56" t="s">
        <v>1991</v>
      </c>
      <c r="B760" s="56" t="s">
        <v>2876</v>
      </c>
      <c r="C760" s="57" t="s">
        <v>177</v>
      </c>
      <c r="D760" s="56" t="s">
        <v>7</v>
      </c>
      <c r="E760" s="59" t="s">
        <v>1993</v>
      </c>
      <c r="F760" s="58"/>
    </row>
    <row r="761" ht="15" customHeight="1" spans="1:6">
      <c r="A761" s="56" t="s">
        <v>1991</v>
      </c>
      <c r="B761" s="56" t="s">
        <v>2877</v>
      </c>
      <c r="C761" s="57" t="s">
        <v>177</v>
      </c>
      <c r="D761" s="56" t="s">
        <v>7</v>
      </c>
      <c r="E761" s="59" t="s">
        <v>1993</v>
      </c>
      <c r="F761" s="58"/>
    </row>
    <row r="762" ht="15" customHeight="1" spans="1:6">
      <c r="A762" s="56" t="s">
        <v>1991</v>
      </c>
      <c r="B762" s="56" t="s">
        <v>2878</v>
      </c>
      <c r="C762" s="57" t="s">
        <v>177</v>
      </c>
      <c r="D762" s="56" t="s">
        <v>7</v>
      </c>
      <c r="E762" s="59" t="s">
        <v>1993</v>
      </c>
      <c r="F762" s="58"/>
    </row>
    <row r="763" ht="15" customHeight="1" spans="1:6">
      <c r="A763" s="56" t="s">
        <v>1991</v>
      </c>
      <c r="B763" s="56" t="s">
        <v>2879</v>
      </c>
      <c r="C763" s="57" t="s">
        <v>177</v>
      </c>
      <c r="D763" s="56" t="s">
        <v>7</v>
      </c>
      <c r="E763" s="59" t="s">
        <v>1993</v>
      </c>
      <c r="F763" s="58"/>
    </row>
    <row r="764" ht="15" customHeight="1" spans="1:6">
      <c r="A764" s="56" t="s">
        <v>1991</v>
      </c>
      <c r="B764" s="56" t="s">
        <v>2880</v>
      </c>
      <c r="C764" s="57" t="s">
        <v>177</v>
      </c>
      <c r="D764" s="56" t="s">
        <v>7</v>
      </c>
      <c r="E764" s="59" t="s">
        <v>1993</v>
      </c>
      <c r="F764" s="58"/>
    </row>
    <row r="765" ht="15" customHeight="1" spans="1:6">
      <c r="A765" s="56" t="s">
        <v>1991</v>
      </c>
      <c r="B765" s="56" t="s">
        <v>2881</v>
      </c>
      <c r="C765" s="57" t="s">
        <v>177</v>
      </c>
      <c r="D765" s="56" t="s">
        <v>7</v>
      </c>
      <c r="E765" s="59" t="s">
        <v>1993</v>
      </c>
      <c r="F765" s="58"/>
    </row>
    <row r="766" ht="15" customHeight="1" spans="1:6">
      <c r="A766" s="56" t="s">
        <v>1991</v>
      </c>
      <c r="B766" s="56" t="s">
        <v>2882</v>
      </c>
      <c r="C766" s="57" t="s">
        <v>177</v>
      </c>
      <c r="D766" s="56" t="s">
        <v>7</v>
      </c>
      <c r="E766" s="59" t="s">
        <v>1993</v>
      </c>
      <c r="F766" s="58"/>
    </row>
    <row r="767" ht="15" customHeight="1" spans="1:6">
      <c r="A767" s="56" t="s">
        <v>1991</v>
      </c>
      <c r="B767" s="56" t="s">
        <v>2883</v>
      </c>
      <c r="C767" s="57" t="s">
        <v>177</v>
      </c>
      <c r="D767" s="56" t="s">
        <v>7</v>
      </c>
      <c r="E767" s="59" t="s">
        <v>1993</v>
      </c>
      <c r="F767" s="58"/>
    </row>
    <row r="768" ht="15" customHeight="1" spans="1:6">
      <c r="A768" s="56" t="s">
        <v>1991</v>
      </c>
      <c r="B768" s="56" t="s">
        <v>2884</v>
      </c>
      <c r="C768" s="57" t="s">
        <v>177</v>
      </c>
      <c r="D768" s="56" t="s">
        <v>7</v>
      </c>
      <c r="E768" s="59" t="s">
        <v>1993</v>
      </c>
      <c r="F768" s="58"/>
    </row>
    <row r="769" ht="15" customHeight="1" spans="1:6">
      <c r="A769" s="56" t="s">
        <v>1991</v>
      </c>
      <c r="B769" s="56" t="s">
        <v>2885</v>
      </c>
      <c r="C769" s="57" t="s">
        <v>177</v>
      </c>
      <c r="D769" s="56" t="s">
        <v>7</v>
      </c>
      <c r="E769" s="59" t="s">
        <v>1993</v>
      </c>
      <c r="F769" s="58"/>
    </row>
    <row r="770" ht="15" customHeight="1" spans="1:6">
      <c r="A770" s="56" t="s">
        <v>1991</v>
      </c>
      <c r="B770" s="56" t="s">
        <v>2886</v>
      </c>
      <c r="C770" s="57" t="s">
        <v>177</v>
      </c>
      <c r="D770" s="56" t="s">
        <v>7</v>
      </c>
      <c r="E770" s="59" t="s">
        <v>1993</v>
      </c>
      <c r="F770" s="58"/>
    </row>
    <row r="771" ht="15" customHeight="1" spans="1:6">
      <c r="A771" s="56" t="s">
        <v>1991</v>
      </c>
      <c r="B771" s="56" t="s">
        <v>2887</v>
      </c>
      <c r="C771" s="57" t="s">
        <v>177</v>
      </c>
      <c r="D771" s="56" t="s">
        <v>7</v>
      </c>
      <c r="E771" s="59" t="s">
        <v>1993</v>
      </c>
      <c r="F771" s="58"/>
    </row>
    <row r="772" ht="15" customHeight="1" spans="1:6">
      <c r="A772" s="56" t="s">
        <v>1991</v>
      </c>
      <c r="B772" s="56" t="s">
        <v>2888</v>
      </c>
      <c r="C772" s="57" t="s">
        <v>177</v>
      </c>
      <c r="D772" s="56" t="s">
        <v>7</v>
      </c>
      <c r="E772" s="59" t="s">
        <v>1993</v>
      </c>
      <c r="F772" s="58"/>
    </row>
    <row r="773" ht="15" customHeight="1" spans="1:6">
      <c r="A773" s="56" t="s">
        <v>1991</v>
      </c>
      <c r="B773" s="56" t="s">
        <v>2889</v>
      </c>
      <c r="C773" s="57" t="s">
        <v>177</v>
      </c>
      <c r="D773" s="56" t="s">
        <v>7</v>
      </c>
      <c r="E773" s="59" t="s">
        <v>1993</v>
      </c>
      <c r="F773" s="58"/>
    </row>
    <row r="774" ht="15" customHeight="1" spans="1:6">
      <c r="A774" s="56" t="s">
        <v>1991</v>
      </c>
      <c r="B774" s="56" t="s">
        <v>2890</v>
      </c>
      <c r="C774" s="57" t="s">
        <v>177</v>
      </c>
      <c r="D774" s="56" t="s">
        <v>7</v>
      </c>
      <c r="E774" s="59" t="s">
        <v>1993</v>
      </c>
      <c r="F774" s="58"/>
    </row>
    <row r="775" ht="15" customHeight="1" spans="1:6">
      <c r="A775" s="56" t="s">
        <v>1991</v>
      </c>
      <c r="B775" s="56" t="s">
        <v>2891</v>
      </c>
      <c r="C775" s="57" t="s">
        <v>177</v>
      </c>
      <c r="D775" s="56" t="s">
        <v>7</v>
      </c>
      <c r="E775" s="59" t="s">
        <v>1993</v>
      </c>
      <c r="F775" s="58"/>
    </row>
    <row r="776" ht="15" customHeight="1" spans="1:6">
      <c r="A776" s="56" t="s">
        <v>1991</v>
      </c>
      <c r="B776" s="56" t="s">
        <v>2892</v>
      </c>
      <c r="C776" s="57" t="s">
        <v>177</v>
      </c>
      <c r="D776" s="56" t="s">
        <v>7</v>
      </c>
      <c r="E776" s="59" t="s">
        <v>1993</v>
      </c>
      <c r="F776" s="58"/>
    </row>
    <row r="777" ht="15" customHeight="1" spans="1:6">
      <c r="A777" s="56" t="s">
        <v>1991</v>
      </c>
      <c r="B777" s="56" t="s">
        <v>2893</v>
      </c>
      <c r="C777" s="57" t="s">
        <v>177</v>
      </c>
      <c r="D777" s="56" t="s">
        <v>7</v>
      </c>
      <c r="E777" s="59" t="s">
        <v>1993</v>
      </c>
      <c r="F777" s="58"/>
    </row>
    <row r="778" ht="15" customHeight="1" spans="1:6">
      <c r="A778" s="56" t="s">
        <v>1991</v>
      </c>
      <c r="B778" s="56" t="s">
        <v>2894</v>
      </c>
      <c r="C778" s="57" t="s">
        <v>364</v>
      </c>
      <c r="D778" s="56" t="s">
        <v>7</v>
      </c>
      <c r="E778" s="59" t="s">
        <v>1993</v>
      </c>
      <c r="F778" s="58"/>
    </row>
    <row r="779" ht="15" customHeight="1" spans="1:6">
      <c r="A779" s="56" t="s">
        <v>1991</v>
      </c>
      <c r="B779" s="56" t="s">
        <v>2895</v>
      </c>
      <c r="C779" s="57" t="s">
        <v>362</v>
      </c>
      <c r="D779" s="56" t="s">
        <v>7</v>
      </c>
      <c r="E779" s="59" t="s">
        <v>1993</v>
      </c>
      <c r="F779" s="58"/>
    </row>
    <row r="780" ht="15" customHeight="1" spans="1:6">
      <c r="A780" s="56" t="s">
        <v>1991</v>
      </c>
      <c r="B780" s="56" t="s">
        <v>2896</v>
      </c>
      <c r="C780" s="57" t="s">
        <v>2427</v>
      </c>
      <c r="D780" s="56" t="s">
        <v>7</v>
      </c>
      <c r="E780" s="59" t="s">
        <v>1993</v>
      </c>
      <c r="F780" s="58"/>
    </row>
    <row r="781" ht="15" customHeight="1" spans="1:6">
      <c r="A781" s="56" t="s">
        <v>1991</v>
      </c>
      <c r="B781" s="56" t="s">
        <v>2897</v>
      </c>
      <c r="C781" s="57" t="s">
        <v>177</v>
      </c>
      <c r="D781" s="56" t="s">
        <v>7</v>
      </c>
      <c r="E781" s="59" t="s">
        <v>1993</v>
      </c>
      <c r="F781" s="58"/>
    </row>
    <row r="782" ht="15" customHeight="1" spans="1:6">
      <c r="A782" s="56" t="s">
        <v>1991</v>
      </c>
      <c r="B782" s="56" t="s">
        <v>2898</v>
      </c>
      <c r="C782" s="57" t="s">
        <v>177</v>
      </c>
      <c r="D782" s="56" t="s">
        <v>7</v>
      </c>
      <c r="E782" s="59" t="s">
        <v>1993</v>
      </c>
      <c r="F782" s="58"/>
    </row>
    <row r="783" ht="15" customHeight="1" spans="1:6">
      <c r="A783" s="56" t="s">
        <v>1991</v>
      </c>
      <c r="B783" s="56" t="s">
        <v>2899</v>
      </c>
      <c r="C783" s="57" t="s">
        <v>177</v>
      </c>
      <c r="D783" s="56" t="s">
        <v>7</v>
      </c>
      <c r="E783" s="59" t="s">
        <v>1993</v>
      </c>
      <c r="F783" s="58"/>
    </row>
    <row r="784" ht="15" customHeight="1" spans="1:6">
      <c r="A784" s="56" t="s">
        <v>1991</v>
      </c>
      <c r="B784" s="56" t="s">
        <v>2900</v>
      </c>
      <c r="C784" s="57" t="s">
        <v>177</v>
      </c>
      <c r="D784" s="56" t="s">
        <v>7</v>
      </c>
      <c r="E784" s="59" t="s">
        <v>1993</v>
      </c>
      <c r="F784" s="58"/>
    </row>
    <row r="785" ht="15" customHeight="1" spans="1:6">
      <c r="A785" s="56" t="s">
        <v>1991</v>
      </c>
      <c r="B785" s="56" t="s">
        <v>2901</v>
      </c>
      <c r="C785" s="57" t="s">
        <v>177</v>
      </c>
      <c r="D785" s="56" t="s">
        <v>7</v>
      </c>
      <c r="E785" s="59" t="s">
        <v>1993</v>
      </c>
      <c r="F785" s="58"/>
    </row>
    <row r="786" ht="15" customHeight="1" spans="1:6">
      <c r="A786" s="56" t="s">
        <v>1991</v>
      </c>
      <c r="B786" s="56" t="s">
        <v>2902</v>
      </c>
      <c r="C786" s="57" t="s">
        <v>177</v>
      </c>
      <c r="D786" s="56" t="s">
        <v>7</v>
      </c>
      <c r="E786" s="59" t="s">
        <v>1993</v>
      </c>
      <c r="F786" s="58"/>
    </row>
    <row r="787" ht="15" customHeight="1" spans="1:6">
      <c r="A787" s="56" t="s">
        <v>1991</v>
      </c>
      <c r="B787" s="56" t="s">
        <v>2903</v>
      </c>
      <c r="C787" s="57" t="s">
        <v>177</v>
      </c>
      <c r="D787" s="56" t="s">
        <v>7</v>
      </c>
      <c r="E787" s="59" t="s">
        <v>1993</v>
      </c>
      <c r="F787" s="58"/>
    </row>
    <row r="788" ht="15" customHeight="1" spans="1:6">
      <c r="A788" s="56" t="s">
        <v>1991</v>
      </c>
      <c r="B788" s="56" t="s">
        <v>2904</v>
      </c>
      <c r="C788" s="57" t="s">
        <v>177</v>
      </c>
      <c r="D788" s="56" t="s">
        <v>7</v>
      </c>
      <c r="E788" s="59" t="s">
        <v>1993</v>
      </c>
      <c r="F788" s="58"/>
    </row>
    <row r="789" ht="15" customHeight="1" spans="1:6">
      <c r="A789" s="56" t="s">
        <v>1991</v>
      </c>
      <c r="B789" s="56" t="s">
        <v>2905</v>
      </c>
      <c r="C789" s="57" t="s">
        <v>177</v>
      </c>
      <c r="D789" s="56" t="s">
        <v>7</v>
      </c>
      <c r="E789" s="59" t="s">
        <v>1993</v>
      </c>
      <c r="F789" s="58"/>
    </row>
    <row r="790" ht="15" customHeight="1" spans="1:6">
      <c r="A790" s="56" t="s">
        <v>1991</v>
      </c>
      <c r="B790" s="56" t="s">
        <v>2906</v>
      </c>
      <c r="C790" s="57" t="s">
        <v>177</v>
      </c>
      <c r="D790" s="56" t="s">
        <v>7</v>
      </c>
      <c r="E790" s="59" t="s">
        <v>1993</v>
      </c>
      <c r="F790" s="58"/>
    </row>
    <row r="791" ht="15" customHeight="1" spans="1:6">
      <c r="A791" s="56" t="s">
        <v>1991</v>
      </c>
      <c r="B791" s="56" t="s">
        <v>2907</v>
      </c>
      <c r="C791" s="57" t="s">
        <v>177</v>
      </c>
      <c r="D791" s="56" t="s">
        <v>7</v>
      </c>
      <c r="E791" s="59" t="s">
        <v>1993</v>
      </c>
      <c r="F791" s="58"/>
    </row>
    <row r="792" ht="15" customHeight="1" spans="1:6">
      <c r="A792" s="56" t="s">
        <v>1991</v>
      </c>
      <c r="B792" s="56" t="s">
        <v>2908</v>
      </c>
      <c r="C792" s="57" t="s">
        <v>177</v>
      </c>
      <c r="D792" s="56" t="s">
        <v>7</v>
      </c>
      <c r="E792" s="59" t="s">
        <v>1993</v>
      </c>
      <c r="F792" s="58"/>
    </row>
    <row r="793" ht="15" customHeight="1" spans="1:6">
      <c r="A793" s="56" t="s">
        <v>1991</v>
      </c>
      <c r="B793" s="56" t="s">
        <v>2909</v>
      </c>
      <c r="C793" s="57" t="s">
        <v>177</v>
      </c>
      <c r="D793" s="56" t="s">
        <v>7</v>
      </c>
      <c r="E793" s="59" t="s">
        <v>1993</v>
      </c>
      <c r="F793" s="58"/>
    </row>
    <row r="794" ht="15" customHeight="1" spans="1:6">
      <c r="A794" s="56" t="s">
        <v>1991</v>
      </c>
      <c r="B794" s="56" t="s">
        <v>2910</v>
      </c>
      <c r="C794" s="57" t="s">
        <v>177</v>
      </c>
      <c r="D794" s="56" t="s">
        <v>7</v>
      </c>
      <c r="E794" s="59" t="s">
        <v>1993</v>
      </c>
      <c r="F794" s="58"/>
    </row>
    <row r="795" ht="15" customHeight="1" spans="1:6">
      <c r="A795" s="56" t="s">
        <v>1991</v>
      </c>
      <c r="B795" s="56" t="s">
        <v>2911</v>
      </c>
      <c r="C795" s="57" t="s">
        <v>177</v>
      </c>
      <c r="D795" s="56" t="s">
        <v>7</v>
      </c>
      <c r="E795" s="59" t="s">
        <v>1993</v>
      </c>
      <c r="F795" s="58"/>
    </row>
    <row r="796" ht="15" customHeight="1" spans="1:6">
      <c r="A796" s="56" t="s">
        <v>1991</v>
      </c>
      <c r="B796" s="56" t="s">
        <v>2912</v>
      </c>
      <c r="C796" s="57" t="s">
        <v>177</v>
      </c>
      <c r="D796" s="56" t="s">
        <v>7</v>
      </c>
      <c r="E796" s="59" t="s">
        <v>1993</v>
      </c>
      <c r="F796" s="58"/>
    </row>
    <row r="797" ht="15" customHeight="1" spans="1:6">
      <c r="A797" s="56" t="s">
        <v>1991</v>
      </c>
      <c r="B797" s="56" t="s">
        <v>2913</v>
      </c>
      <c r="C797" s="57" t="s">
        <v>177</v>
      </c>
      <c r="D797" s="56" t="s">
        <v>7</v>
      </c>
      <c r="E797" s="59" t="s">
        <v>1993</v>
      </c>
      <c r="F797" s="58"/>
    </row>
    <row r="798" ht="15" customHeight="1" spans="1:6">
      <c r="A798" s="56" t="s">
        <v>1991</v>
      </c>
      <c r="B798" s="56" t="s">
        <v>2914</v>
      </c>
      <c r="C798" s="57" t="s">
        <v>177</v>
      </c>
      <c r="D798" s="56" t="s">
        <v>7</v>
      </c>
      <c r="E798" s="59" t="s">
        <v>1993</v>
      </c>
      <c r="F798" s="58"/>
    </row>
    <row r="799" ht="15" customHeight="1" spans="1:6">
      <c r="A799" s="56" t="s">
        <v>1991</v>
      </c>
      <c r="B799" s="56" t="s">
        <v>2915</v>
      </c>
      <c r="C799" s="57" t="s">
        <v>177</v>
      </c>
      <c r="D799" s="56" t="s">
        <v>7</v>
      </c>
      <c r="E799" s="59" t="s">
        <v>1993</v>
      </c>
      <c r="F799" s="58"/>
    </row>
    <row r="800" ht="15" customHeight="1" spans="1:6">
      <c r="A800" s="56" t="s">
        <v>1991</v>
      </c>
      <c r="B800" s="56" t="s">
        <v>2916</v>
      </c>
      <c r="C800" s="57" t="s">
        <v>177</v>
      </c>
      <c r="D800" s="56" t="s">
        <v>7</v>
      </c>
      <c r="E800" s="59" t="s">
        <v>1993</v>
      </c>
      <c r="F800" s="58"/>
    </row>
    <row r="801" ht="15" customHeight="1" spans="1:6">
      <c r="A801" s="56" t="s">
        <v>1991</v>
      </c>
      <c r="B801" s="56" t="s">
        <v>2917</v>
      </c>
      <c r="C801" s="57" t="s">
        <v>364</v>
      </c>
      <c r="D801" s="56" t="s">
        <v>7</v>
      </c>
      <c r="E801" s="59" t="s">
        <v>1993</v>
      </c>
      <c r="F801" s="58"/>
    </row>
    <row r="802" ht="15" customHeight="1" spans="1:6">
      <c r="A802" s="56" t="s">
        <v>1991</v>
      </c>
      <c r="B802" s="56" t="s">
        <v>2918</v>
      </c>
      <c r="C802" s="57" t="s">
        <v>362</v>
      </c>
      <c r="D802" s="56" t="s">
        <v>7</v>
      </c>
      <c r="E802" s="59" t="s">
        <v>1993</v>
      </c>
      <c r="F802" s="58"/>
    </row>
    <row r="803" ht="15" customHeight="1" spans="1:6">
      <c r="A803" s="56" t="s">
        <v>1991</v>
      </c>
      <c r="B803" s="56" t="s">
        <v>2919</v>
      </c>
      <c r="C803" s="57" t="s">
        <v>2427</v>
      </c>
      <c r="D803" s="56" t="s">
        <v>7</v>
      </c>
      <c r="E803" s="59" t="s">
        <v>1993</v>
      </c>
      <c r="F803" s="58"/>
    </row>
    <row r="804" ht="15" customHeight="1" spans="1:6">
      <c r="A804" s="56" t="s">
        <v>1991</v>
      </c>
      <c r="B804" s="56" t="s">
        <v>2920</v>
      </c>
      <c r="C804" s="57" t="s">
        <v>177</v>
      </c>
      <c r="D804" s="56" t="s">
        <v>7</v>
      </c>
      <c r="E804" s="59" t="s">
        <v>1993</v>
      </c>
      <c r="F804" s="58"/>
    </row>
    <row r="805" ht="15" customHeight="1" spans="1:6">
      <c r="A805" s="56" t="s">
        <v>1991</v>
      </c>
      <c r="B805" s="56" t="s">
        <v>2921</v>
      </c>
      <c r="C805" s="57" t="s">
        <v>177</v>
      </c>
      <c r="D805" s="56" t="s">
        <v>7</v>
      </c>
      <c r="E805" s="59" t="s">
        <v>1993</v>
      </c>
      <c r="F805" s="58"/>
    </row>
    <row r="806" ht="15" customHeight="1" spans="1:6">
      <c r="A806" s="56" t="s">
        <v>1991</v>
      </c>
      <c r="B806" s="56" t="s">
        <v>2922</v>
      </c>
      <c r="C806" s="57" t="s">
        <v>177</v>
      </c>
      <c r="D806" s="56" t="s">
        <v>7</v>
      </c>
      <c r="E806" s="59" t="s">
        <v>1993</v>
      </c>
      <c r="F806" s="58"/>
    </row>
    <row r="807" ht="15" customHeight="1" spans="1:6">
      <c r="A807" s="56" t="s">
        <v>1991</v>
      </c>
      <c r="B807" s="56" t="s">
        <v>2923</v>
      </c>
      <c r="C807" s="57" t="s">
        <v>177</v>
      </c>
      <c r="D807" s="56" t="s">
        <v>7</v>
      </c>
      <c r="E807" s="59" t="s">
        <v>1993</v>
      </c>
      <c r="F807" s="58"/>
    </row>
    <row r="808" ht="15" customHeight="1" spans="1:6">
      <c r="A808" s="56" t="s">
        <v>1991</v>
      </c>
      <c r="B808" s="56" t="s">
        <v>2924</v>
      </c>
      <c r="C808" s="57" t="s">
        <v>177</v>
      </c>
      <c r="D808" s="56" t="s">
        <v>7</v>
      </c>
      <c r="E808" s="59" t="s">
        <v>1993</v>
      </c>
      <c r="F808" s="58"/>
    </row>
    <row r="809" ht="15" customHeight="1" spans="1:6">
      <c r="A809" s="56" t="s">
        <v>1991</v>
      </c>
      <c r="B809" s="56" t="s">
        <v>2925</v>
      </c>
      <c r="C809" s="57" t="s">
        <v>177</v>
      </c>
      <c r="D809" s="56" t="s">
        <v>7</v>
      </c>
      <c r="E809" s="59" t="s">
        <v>1993</v>
      </c>
      <c r="F809" s="58"/>
    </row>
    <row r="810" ht="15" customHeight="1" spans="1:6">
      <c r="A810" s="56" t="s">
        <v>1991</v>
      </c>
      <c r="B810" s="56" t="s">
        <v>2926</v>
      </c>
      <c r="C810" s="57" t="s">
        <v>177</v>
      </c>
      <c r="D810" s="56" t="s">
        <v>7</v>
      </c>
      <c r="E810" s="59" t="s">
        <v>1993</v>
      </c>
      <c r="F810" s="58"/>
    </row>
    <row r="811" ht="15" customHeight="1" spans="1:6">
      <c r="A811" s="56" t="s">
        <v>1991</v>
      </c>
      <c r="B811" s="56" t="s">
        <v>2927</v>
      </c>
      <c r="C811" s="57" t="s">
        <v>177</v>
      </c>
      <c r="D811" s="56" t="s">
        <v>7</v>
      </c>
      <c r="E811" s="59" t="s">
        <v>1993</v>
      </c>
      <c r="F811" s="58"/>
    </row>
    <row r="812" ht="15" customHeight="1" spans="1:6">
      <c r="A812" s="56" t="s">
        <v>1991</v>
      </c>
      <c r="B812" s="56" t="s">
        <v>2928</v>
      </c>
      <c r="C812" s="57" t="s">
        <v>177</v>
      </c>
      <c r="D812" s="56" t="s">
        <v>7</v>
      </c>
      <c r="E812" s="59" t="s">
        <v>1993</v>
      </c>
      <c r="F812" s="58"/>
    </row>
    <row r="813" ht="15" customHeight="1" spans="1:6">
      <c r="A813" s="56" t="s">
        <v>1991</v>
      </c>
      <c r="B813" s="56" t="s">
        <v>2929</v>
      </c>
      <c r="C813" s="57" t="s">
        <v>177</v>
      </c>
      <c r="D813" s="56" t="s">
        <v>7</v>
      </c>
      <c r="E813" s="59" t="s">
        <v>1993</v>
      </c>
      <c r="F813" s="58"/>
    </row>
    <row r="814" ht="15" customHeight="1" spans="1:6">
      <c r="A814" s="56" t="s">
        <v>1991</v>
      </c>
      <c r="B814" s="56" t="s">
        <v>2930</v>
      </c>
      <c r="C814" s="57" t="s">
        <v>177</v>
      </c>
      <c r="D814" s="56" t="s">
        <v>7</v>
      </c>
      <c r="E814" s="59" t="s">
        <v>1993</v>
      </c>
      <c r="F814" s="58"/>
    </row>
    <row r="815" ht="15" customHeight="1" spans="1:6">
      <c r="A815" s="56" t="s">
        <v>1991</v>
      </c>
      <c r="B815" s="56" t="s">
        <v>2931</v>
      </c>
      <c r="C815" s="57" t="s">
        <v>177</v>
      </c>
      <c r="D815" s="56" t="s">
        <v>7</v>
      </c>
      <c r="E815" s="59" t="s">
        <v>1993</v>
      </c>
      <c r="F815" s="58"/>
    </row>
    <row r="816" ht="15" customHeight="1" spans="1:6">
      <c r="A816" s="56" t="s">
        <v>1991</v>
      </c>
      <c r="B816" s="56" t="s">
        <v>2932</v>
      </c>
      <c r="C816" s="57" t="s">
        <v>177</v>
      </c>
      <c r="D816" s="56" t="s">
        <v>7</v>
      </c>
      <c r="E816" s="59" t="s">
        <v>1993</v>
      </c>
      <c r="F816" s="58"/>
    </row>
    <row r="817" ht="15" customHeight="1" spans="1:6">
      <c r="A817" s="56" t="s">
        <v>1991</v>
      </c>
      <c r="B817" s="56" t="s">
        <v>2933</v>
      </c>
      <c r="C817" s="57" t="s">
        <v>177</v>
      </c>
      <c r="D817" s="56" t="s">
        <v>7</v>
      </c>
      <c r="E817" s="59" t="s">
        <v>1993</v>
      </c>
      <c r="F817" s="58"/>
    </row>
    <row r="818" ht="15" customHeight="1" spans="1:6">
      <c r="A818" s="56" t="s">
        <v>1991</v>
      </c>
      <c r="B818" s="56" t="s">
        <v>2934</v>
      </c>
      <c r="C818" s="57" t="s">
        <v>177</v>
      </c>
      <c r="D818" s="56" t="s">
        <v>7</v>
      </c>
      <c r="E818" s="59" t="s">
        <v>1993</v>
      </c>
      <c r="F818" s="58"/>
    </row>
    <row r="819" ht="15" customHeight="1" spans="1:6">
      <c r="A819" s="56" t="s">
        <v>1991</v>
      </c>
      <c r="B819" s="56" t="s">
        <v>2935</v>
      </c>
      <c r="C819" s="57" t="s">
        <v>177</v>
      </c>
      <c r="D819" s="56" t="s">
        <v>7</v>
      </c>
      <c r="E819" s="59" t="s">
        <v>1993</v>
      </c>
      <c r="F819" s="58"/>
    </row>
    <row r="820" ht="15" customHeight="1" spans="1:6">
      <c r="A820" s="56" t="s">
        <v>1991</v>
      </c>
      <c r="B820" s="56" t="s">
        <v>2936</v>
      </c>
      <c r="C820" s="57" t="s">
        <v>177</v>
      </c>
      <c r="D820" s="56" t="s">
        <v>7</v>
      </c>
      <c r="E820" s="59" t="s">
        <v>1993</v>
      </c>
      <c r="F820" s="58"/>
    </row>
    <row r="821" ht="15" customHeight="1" spans="1:6">
      <c r="A821" s="56" t="s">
        <v>1991</v>
      </c>
      <c r="B821" s="56" t="s">
        <v>2937</v>
      </c>
      <c r="C821" s="57" t="s">
        <v>177</v>
      </c>
      <c r="D821" s="56" t="s">
        <v>7</v>
      </c>
      <c r="E821" s="59" t="s">
        <v>1993</v>
      </c>
      <c r="F821" s="58"/>
    </row>
    <row r="822" ht="15" customHeight="1" spans="1:6">
      <c r="A822" s="56" t="s">
        <v>1991</v>
      </c>
      <c r="B822" s="56" t="s">
        <v>2938</v>
      </c>
      <c r="C822" s="57" t="s">
        <v>177</v>
      </c>
      <c r="D822" s="56" t="s">
        <v>7</v>
      </c>
      <c r="E822" s="59" t="s">
        <v>1993</v>
      </c>
      <c r="F822" s="58"/>
    </row>
    <row r="823" ht="15" customHeight="1" spans="1:6">
      <c r="A823" s="56" t="s">
        <v>1991</v>
      </c>
      <c r="B823" s="56" t="s">
        <v>2939</v>
      </c>
      <c r="C823" s="57" t="s">
        <v>177</v>
      </c>
      <c r="D823" s="56" t="s">
        <v>7</v>
      </c>
      <c r="E823" s="59" t="s">
        <v>1993</v>
      </c>
      <c r="F823" s="58"/>
    </row>
    <row r="824" ht="15" customHeight="1" spans="1:6">
      <c r="A824" s="56" t="s">
        <v>1991</v>
      </c>
      <c r="B824" s="56" t="s">
        <v>2940</v>
      </c>
      <c r="C824" s="57" t="s">
        <v>177</v>
      </c>
      <c r="D824" s="56" t="s">
        <v>7</v>
      </c>
      <c r="E824" s="59" t="s">
        <v>1993</v>
      </c>
      <c r="F824" s="58"/>
    </row>
    <row r="825" ht="15" customHeight="1" spans="1:6">
      <c r="A825" s="56" t="s">
        <v>1991</v>
      </c>
      <c r="B825" s="56" t="s">
        <v>2941</v>
      </c>
      <c r="C825" s="57" t="s">
        <v>364</v>
      </c>
      <c r="D825" s="56" t="s">
        <v>7</v>
      </c>
      <c r="E825" s="59" t="s">
        <v>1993</v>
      </c>
      <c r="F825" s="58"/>
    </row>
    <row r="826" ht="15" customHeight="1" spans="1:6">
      <c r="A826" s="56" t="s">
        <v>1991</v>
      </c>
      <c r="B826" s="56" t="s">
        <v>2942</v>
      </c>
      <c r="C826" s="57" t="s">
        <v>362</v>
      </c>
      <c r="D826" s="56" t="s">
        <v>7</v>
      </c>
      <c r="E826" s="59" t="s">
        <v>1993</v>
      </c>
      <c r="F826" s="58"/>
    </row>
    <row r="827" ht="15" customHeight="1" spans="1:6">
      <c r="A827" s="56" t="s">
        <v>1991</v>
      </c>
      <c r="B827" s="56" t="s">
        <v>2943</v>
      </c>
      <c r="C827" s="57" t="s">
        <v>2427</v>
      </c>
      <c r="D827" s="56" t="s">
        <v>7</v>
      </c>
      <c r="E827" s="59" t="s">
        <v>1993</v>
      </c>
      <c r="F827" s="58"/>
    </row>
    <row r="828" ht="15" customHeight="1" spans="1:6">
      <c r="A828" s="56" t="s">
        <v>1991</v>
      </c>
      <c r="B828" s="56" t="s">
        <v>2944</v>
      </c>
      <c r="C828" s="57" t="s">
        <v>177</v>
      </c>
      <c r="D828" s="56" t="s">
        <v>7</v>
      </c>
      <c r="E828" s="59" t="s">
        <v>1993</v>
      </c>
      <c r="F828" s="58"/>
    </row>
    <row r="829" ht="15" customHeight="1" spans="1:6">
      <c r="A829" s="56" t="s">
        <v>1991</v>
      </c>
      <c r="B829" s="56" t="s">
        <v>2945</v>
      </c>
      <c r="C829" s="57" t="s">
        <v>177</v>
      </c>
      <c r="D829" s="56" t="s">
        <v>7</v>
      </c>
      <c r="E829" s="59" t="s">
        <v>1993</v>
      </c>
      <c r="F829" s="58"/>
    </row>
    <row r="830" ht="15" customHeight="1" spans="1:6">
      <c r="A830" s="56" t="s">
        <v>1991</v>
      </c>
      <c r="B830" s="56" t="s">
        <v>2946</v>
      </c>
      <c r="C830" s="57" t="s">
        <v>177</v>
      </c>
      <c r="D830" s="56" t="s">
        <v>7</v>
      </c>
      <c r="E830" s="59" t="s">
        <v>1993</v>
      </c>
      <c r="F830" s="58"/>
    </row>
    <row r="831" ht="15" customHeight="1" spans="1:6">
      <c r="A831" s="56" t="s">
        <v>1991</v>
      </c>
      <c r="B831" s="56" t="s">
        <v>2947</v>
      </c>
      <c r="C831" s="57" t="s">
        <v>177</v>
      </c>
      <c r="D831" s="56" t="s">
        <v>7</v>
      </c>
      <c r="E831" s="59" t="s">
        <v>1993</v>
      </c>
      <c r="F831" s="58"/>
    </row>
    <row r="832" ht="15" customHeight="1" spans="1:6">
      <c r="A832" s="56" t="s">
        <v>1991</v>
      </c>
      <c r="B832" s="56" t="s">
        <v>2948</v>
      </c>
      <c r="C832" s="57" t="s">
        <v>177</v>
      </c>
      <c r="D832" s="56" t="s">
        <v>7</v>
      </c>
      <c r="E832" s="59" t="s">
        <v>1993</v>
      </c>
      <c r="F832" s="58"/>
    </row>
    <row r="833" ht="15" customHeight="1" spans="1:6">
      <c r="A833" s="56" t="s">
        <v>1991</v>
      </c>
      <c r="B833" s="56" t="s">
        <v>2949</v>
      </c>
      <c r="C833" s="57" t="s">
        <v>177</v>
      </c>
      <c r="D833" s="56" t="s">
        <v>7</v>
      </c>
      <c r="E833" s="59" t="s">
        <v>1993</v>
      </c>
      <c r="F833" s="58"/>
    </row>
    <row r="834" ht="15" customHeight="1" spans="1:6">
      <c r="A834" s="56" t="s">
        <v>1991</v>
      </c>
      <c r="B834" s="56" t="s">
        <v>2950</v>
      </c>
      <c r="C834" s="57" t="s">
        <v>177</v>
      </c>
      <c r="D834" s="56" t="s">
        <v>7</v>
      </c>
      <c r="E834" s="59" t="s">
        <v>1993</v>
      </c>
      <c r="F834" s="58"/>
    </row>
    <row r="835" ht="15" customHeight="1" spans="1:6">
      <c r="A835" s="56" t="s">
        <v>1991</v>
      </c>
      <c r="B835" s="56" t="s">
        <v>2951</v>
      </c>
      <c r="C835" s="57" t="s">
        <v>177</v>
      </c>
      <c r="D835" s="56" t="s">
        <v>7</v>
      </c>
      <c r="E835" s="59" t="s">
        <v>1993</v>
      </c>
      <c r="F835" s="58"/>
    </row>
    <row r="836" ht="15" customHeight="1" spans="1:6">
      <c r="A836" s="56" t="s">
        <v>1991</v>
      </c>
      <c r="B836" s="56" t="s">
        <v>2952</v>
      </c>
      <c r="C836" s="57" t="s">
        <v>177</v>
      </c>
      <c r="D836" s="56" t="s">
        <v>7</v>
      </c>
      <c r="E836" s="59" t="s">
        <v>1993</v>
      </c>
      <c r="F836" s="58"/>
    </row>
    <row r="837" ht="15" customHeight="1" spans="1:6">
      <c r="A837" s="56" t="s">
        <v>1991</v>
      </c>
      <c r="B837" s="56" t="s">
        <v>2953</v>
      </c>
      <c r="C837" s="57" t="s">
        <v>177</v>
      </c>
      <c r="D837" s="56" t="s">
        <v>7</v>
      </c>
      <c r="E837" s="59" t="s">
        <v>1993</v>
      </c>
      <c r="F837" s="58"/>
    </row>
    <row r="838" ht="15" customHeight="1" spans="1:6">
      <c r="A838" s="56" t="s">
        <v>1991</v>
      </c>
      <c r="B838" s="56" t="s">
        <v>2954</v>
      </c>
      <c r="C838" s="57" t="s">
        <v>177</v>
      </c>
      <c r="D838" s="56" t="s">
        <v>7</v>
      </c>
      <c r="E838" s="59" t="s">
        <v>1993</v>
      </c>
      <c r="F838" s="58"/>
    </row>
    <row r="839" ht="15" customHeight="1" spans="1:6">
      <c r="A839" s="56" t="s">
        <v>1991</v>
      </c>
      <c r="B839" s="56" t="s">
        <v>2955</v>
      </c>
      <c r="C839" s="57" t="s">
        <v>177</v>
      </c>
      <c r="D839" s="56" t="s">
        <v>7</v>
      </c>
      <c r="E839" s="59" t="s">
        <v>1993</v>
      </c>
      <c r="F839" s="58"/>
    </row>
    <row r="840" ht="15" customHeight="1" spans="1:6">
      <c r="A840" s="56" t="s">
        <v>1991</v>
      </c>
      <c r="B840" s="56" t="s">
        <v>2956</v>
      </c>
      <c r="C840" s="57" t="s">
        <v>177</v>
      </c>
      <c r="D840" s="56" t="s">
        <v>7</v>
      </c>
      <c r="E840" s="59" t="s">
        <v>1993</v>
      </c>
      <c r="F840" s="58"/>
    </row>
    <row r="841" ht="15" customHeight="1" spans="1:6">
      <c r="A841" s="56" t="s">
        <v>1991</v>
      </c>
      <c r="B841" s="56" t="s">
        <v>2957</v>
      </c>
      <c r="C841" s="57" t="s">
        <v>177</v>
      </c>
      <c r="D841" s="56" t="s">
        <v>7</v>
      </c>
      <c r="E841" s="59" t="s">
        <v>1993</v>
      </c>
      <c r="F841" s="58"/>
    </row>
    <row r="842" ht="15" customHeight="1" spans="1:6">
      <c r="A842" s="56" t="s">
        <v>1991</v>
      </c>
      <c r="B842" s="56" t="s">
        <v>2958</v>
      </c>
      <c r="C842" s="57" t="s">
        <v>177</v>
      </c>
      <c r="D842" s="56" t="s">
        <v>7</v>
      </c>
      <c r="E842" s="59" t="s">
        <v>1993</v>
      </c>
      <c r="F842" s="58"/>
    </row>
    <row r="843" ht="15" customHeight="1" spans="1:6">
      <c r="A843" s="56" t="s">
        <v>1991</v>
      </c>
      <c r="B843" s="56" t="s">
        <v>2959</v>
      </c>
      <c r="C843" s="57" t="s">
        <v>177</v>
      </c>
      <c r="D843" s="56" t="s">
        <v>7</v>
      </c>
      <c r="E843" s="59" t="s">
        <v>1993</v>
      </c>
      <c r="F843" s="58"/>
    </row>
    <row r="844" ht="15" customHeight="1" spans="1:6">
      <c r="A844" s="56" t="s">
        <v>1991</v>
      </c>
      <c r="B844" s="56" t="s">
        <v>2960</v>
      </c>
      <c r="C844" s="57" t="s">
        <v>177</v>
      </c>
      <c r="D844" s="56" t="s">
        <v>7</v>
      </c>
      <c r="E844" s="59" t="s">
        <v>1993</v>
      </c>
      <c r="F844" s="58"/>
    </row>
    <row r="845" ht="15" customHeight="1" spans="1:6">
      <c r="A845" s="56" t="s">
        <v>1991</v>
      </c>
      <c r="B845" s="56" t="s">
        <v>2961</v>
      </c>
      <c r="C845" s="57" t="s">
        <v>177</v>
      </c>
      <c r="D845" s="56" t="s">
        <v>7</v>
      </c>
      <c r="E845" s="59" t="s">
        <v>1993</v>
      </c>
      <c r="F845" s="58"/>
    </row>
    <row r="846" ht="15" customHeight="1" spans="1:6">
      <c r="A846" s="56" t="s">
        <v>1991</v>
      </c>
      <c r="B846" s="56" t="s">
        <v>2962</v>
      </c>
      <c r="C846" s="57" t="s">
        <v>177</v>
      </c>
      <c r="D846" s="56" t="s">
        <v>7</v>
      </c>
      <c r="E846" s="59" t="s">
        <v>1993</v>
      </c>
      <c r="F846" s="58"/>
    </row>
    <row r="847" ht="15" customHeight="1" spans="1:6">
      <c r="A847" s="56" t="s">
        <v>1991</v>
      </c>
      <c r="B847" s="56" t="s">
        <v>2963</v>
      </c>
      <c r="C847" s="57" t="s">
        <v>177</v>
      </c>
      <c r="D847" s="56" t="s">
        <v>7</v>
      </c>
      <c r="E847" s="59" t="s">
        <v>1993</v>
      </c>
      <c r="F847" s="58"/>
    </row>
    <row r="848" ht="15" customHeight="1" spans="1:6">
      <c r="A848" s="56" t="s">
        <v>1991</v>
      </c>
      <c r="B848" s="56" t="s">
        <v>2964</v>
      </c>
      <c r="C848" s="57" t="s">
        <v>364</v>
      </c>
      <c r="D848" s="56" t="s">
        <v>7</v>
      </c>
      <c r="E848" s="59" t="s">
        <v>1993</v>
      </c>
      <c r="F848" s="58"/>
    </row>
    <row r="849" ht="15" customHeight="1" spans="1:6">
      <c r="A849" s="56" t="s">
        <v>1991</v>
      </c>
      <c r="B849" s="56" t="s">
        <v>2965</v>
      </c>
      <c r="C849" s="57" t="s">
        <v>362</v>
      </c>
      <c r="D849" s="56" t="s">
        <v>7</v>
      </c>
      <c r="E849" s="59" t="s">
        <v>1993</v>
      </c>
      <c r="F849" s="58"/>
    </row>
    <row r="850" ht="15" customHeight="1" spans="1:6">
      <c r="A850" s="56" t="s">
        <v>1991</v>
      </c>
      <c r="B850" s="56" t="s">
        <v>2966</v>
      </c>
      <c r="C850" s="57" t="s">
        <v>2427</v>
      </c>
      <c r="D850" s="56" t="s">
        <v>7</v>
      </c>
      <c r="E850" s="59" t="s">
        <v>1993</v>
      </c>
      <c r="F850" s="58"/>
    </row>
    <row r="851" ht="15" customHeight="1" spans="1:6">
      <c r="A851" s="56" t="s">
        <v>1991</v>
      </c>
      <c r="B851" s="56" t="s">
        <v>2967</v>
      </c>
      <c r="C851" s="57" t="s">
        <v>177</v>
      </c>
      <c r="D851" s="56" t="s">
        <v>7</v>
      </c>
      <c r="E851" s="59" t="s">
        <v>1993</v>
      </c>
      <c r="F851" s="58"/>
    </row>
    <row r="852" ht="15" customHeight="1" spans="1:6">
      <c r="A852" s="56" t="s">
        <v>1991</v>
      </c>
      <c r="B852" s="56" t="s">
        <v>2968</v>
      </c>
      <c r="C852" s="57" t="s">
        <v>177</v>
      </c>
      <c r="D852" s="56" t="s">
        <v>7</v>
      </c>
      <c r="E852" s="59" t="s">
        <v>1993</v>
      </c>
      <c r="F852" s="58"/>
    </row>
    <row r="853" ht="15" customHeight="1" spans="1:6">
      <c r="A853" s="56" t="s">
        <v>1991</v>
      </c>
      <c r="B853" s="56" t="s">
        <v>2969</v>
      </c>
      <c r="C853" s="57" t="s">
        <v>177</v>
      </c>
      <c r="D853" s="56" t="s">
        <v>7</v>
      </c>
      <c r="E853" s="59" t="s">
        <v>1993</v>
      </c>
      <c r="F853" s="58"/>
    </row>
    <row r="854" ht="15" customHeight="1" spans="1:6">
      <c r="A854" s="56" t="s">
        <v>1991</v>
      </c>
      <c r="B854" s="56" t="s">
        <v>2970</v>
      </c>
      <c r="C854" s="57" t="s">
        <v>177</v>
      </c>
      <c r="D854" s="56" t="s">
        <v>7</v>
      </c>
      <c r="E854" s="59" t="s">
        <v>1993</v>
      </c>
      <c r="F854" s="58"/>
    </row>
    <row r="855" ht="15" customHeight="1" spans="1:6">
      <c r="A855" s="56" t="s">
        <v>1991</v>
      </c>
      <c r="B855" s="56" t="s">
        <v>2971</v>
      </c>
      <c r="C855" s="57" t="s">
        <v>177</v>
      </c>
      <c r="D855" s="56" t="s">
        <v>7</v>
      </c>
      <c r="E855" s="59" t="s">
        <v>1993</v>
      </c>
      <c r="F855" s="58"/>
    </row>
    <row r="856" ht="15" customHeight="1" spans="1:6">
      <c r="A856" s="56" t="s">
        <v>1991</v>
      </c>
      <c r="B856" s="56" t="s">
        <v>2972</v>
      </c>
      <c r="C856" s="57" t="s">
        <v>177</v>
      </c>
      <c r="D856" s="56" t="s">
        <v>7</v>
      </c>
      <c r="E856" s="59" t="s">
        <v>1993</v>
      </c>
      <c r="F856" s="58"/>
    </row>
    <row r="857" ht="15" customHeight="1" spans="1:6">
      <c r="A857" s="56" t="s">
        <v>1991</v>
      </c>
      <c r="B857" s="56" t="s">
        <v>2973</v>
      </c>
      <c r="C857" s="57" t="s">
        <v>177</v>
      </c>
      <c r="D857" s="56" t="s">
        <v>7</v>
      </c>
      <c r="E857" s="59" t="s">
        <v>1993</v>
      </c>
      <c r="F857" s="58"/>
    </row>
    <row r="858" ht="15" customHeight="1" spans="1:6">
      <c r="A858" s="56" t="s">
        <v>1991</v>
      </c>
      <c r="B858" s="56" t="s">
        <v>2974</v>
      </c>
      <c r="C858" s="57" t="s">
        <v>177</v>
      </c>
      <c r="D858" s="56" t="s">
        <v>7</v>
      </c>
      <c r="E858" s="59" t="s">
        <v>1993</v>
      </c>
      <c r="F858" s="58"/>
    </row>
    <row r="859" ht="15" customHeight="1" spans="1:6">
      <c r="A859" s="56" t="s">
        <v>1991</v>
      </c>
      <c r="B859" s="56" t="s">
        <v>2975</v>
      </c>
      <c r="C859" s="57" t="s">
        <v>177</v>
      </c>
      <c r="D859" s="56" t="s">
        <v>7</v>
      </c>
      <c r="E859" s="59" t="s">
        <v>1993</v>
      </c>
      <c r="F859" s="58"/>
    </row>
    <row r="860" ht="15" customHeight="1" spans="1:6">
      <c r="A860" s="56" t="s">
        <v>1991</v>
      </c>
      <c r="B860" s="56" t="s">
        <v>2976</v>
      </c>
      <c r="C860" s="57" t="s">
        <v>177</v>
      </c>
      <c r="D860" s="56" t="s">
        <v>7</v>
      </c>
      <c r="E860" s="59" t="s">
        <v>1993</v>
      </c>
      <c r="F860" s="58"/>
    </row>
    <row r="861" ht="15" customHeight="1" spans="1:6">
      <c r="A861" s="56" t="s">
        <v>1991</v>
      </c>
      <c r="B861" s="56" t="s">
        <v>2977</v>
      </c>
      <c r="C861" s="57" t="s">
        <v>177</v>
      </c>
      <c r="D861" s="56" t="s">
        <v>7</v>
      </c>
      <c r="E861" s="59" t="s">
        <v>1993</v>
      </c>
      <c r="F861" s="58"/>
    </row>
    <row r="862" ht="15" customHeight="1" spans="1:6">
      <c r="A862" s="56" t="s">
        <v>1991</v>
      </c>
      <c r="B862" s="56" t="s">
        <v>2978</v>
      </c>
      <c r="C862" s="57" t="s">
        <v>177</v>
      </c>
      <c r="D862" s="56" t="s">
        <v>7</v>
      </c>
      <c r="E862" s="59" t="s">
        <v>1993</v>
      </c>
      <c r="F862" s="58"/>
    </row>
    <row r="863" ht="15" customHeight="1" spans="1:6">
      <c r="A863" s="56" t="s">
        <v>1991</v>
      </c>
      <c r="B863" s="56" t="s">
        <v>2979</v>
      </c>
      <c r="C863" s="57" t="s">
        <v>177</v>
      </c>
      <c r="D863" s="56" t="s">
        <v>7</v>
      </c>
      <c r="E863" s="59" t="s">
        <v>1993</v>
      </c>
      <c r="F863" s="58"/>
    </row>
    <row r="864" ht="15" customHeight="1" spans="1:6">
      <c r="A864" s="56" t="s">
        <v>1991</v>
      </c>
      <c r="B864" s="56" t="s">
        <v>2980</v>
      </c>
      <c r="C864" s="57" t="s">
        <v>177</v>
      </c>
      <c r="D864" s="56" t="s">
        <v>7</v>
      </c>
      <c r="E864" s="59" t="s">
        <v>1993</v>
      </c>
      <c r="F864" s="58"/>
    </row>
    <row r="865" ht="15" customHeight="1" spans="1:6">
      <c r="A865" s="56" t="s">
        <v>1991</v>
      </c>
      <c r="B865" s="56" t="s">
        <v>2981</v>
      </c>
      <c r="C865" s="57" t="s">
        <v>177</v>
      </c>
      <c r="D865" s="56" t="s">
        <v>7</v>
      </c>
      <c r="E865" s="59" t="s">
        <v>1993</v>
      </c>
      <c r="F865" s="58"/>
    </row>
    <row r="866" ht="15" customHeight="1" spans="1:6">
      <c r="A866" s="56" t="s">
        <v>1991</v>
      </c>
      <c r="B866" s="56" t="s">
        <v>2982</v>
      </c>
      <c r="C866" s="57" t="s">
        <v>177</v>
      </c>
      <c r="D866" s="56" t="s">
        <v>7</v>
      </c>
      <c r="E866" s="59" t="s">
        <v>1993</v>
      </c>
      <c r="F866" s="58"/>
    </row>
    <row r="867" ht="15" customHeight="1" spans="1:6">
      <c r="A867" s="56" t="s">
        <v>1991</v>
      </c>
      <c r="B867" s="56" t="s">
        <v>2983</v>
      </c>
      <c r="C867" s="57" t="s">
        <v>177</v>
      </c>
      <c r="D867" s="56" t="s">
        <v>7</v>
      </c>
      <c r="E867" s="59" t="s">
        <v>1993</v>
      </c>
      <c r="F867" s="58"/>
    </row>
    <row r="868" ht="15" customHeight="1" spans="1:6">
      <c r="A868" s="56" t="s">
        <v>1991</v>
      </c>
      <c r="B868" s="56" t="s">
        <v>2984</v>
      </c>
      <c r="C868" s="57" t="s">
        <v>177</v>
      </c>
      <c r="D868" s="56" t="s">
        <v>7</v>
      </c>
      <c r="E868" s="59" t="s">
        <v>1993</v>
      </c>
      <c r="F868" s="58"/>
    </row>
    <row r="869" ht="15" customHeight="1" spans="1:6">
      <c r="A869" s="56" t="s">
        <v>1991</v>
      </c>
      <c r="B869" s="56" t="s">
        <v>2985</v>
      </c>
      <c r="C869" s="57" t="s">
        <v>177</v>
      </c>
      <c r="D869" s="56" t="s">
        <v>7</v>
      </c>
      <c r="E869" s="59" t="s">
        <v>1993</v>
      </c>
      <c r="F869" s="58"/>
    </row>
    <row r="870" ht="15" customHeight="1" spans="1:6">
      <c r="A870" s="56" t="s">
        <v>1991</v>
      </c>
      <c r="B870" s="56" t="s">
        <v>2986</v>
      </c>
      <c r="C870" s="57" t="s">
        <v>177</v>
      </c>
      <c r="D870" s="56" t="s">
        <v>7</v>
      </c>
      <c r="E870" s="59" t="s">
        <v>1993</v>
      </c>
      <c r="F870" s="58"/>
    </row>
    <row r="871" ht="15" customHeight="1" spans="1:6">
      <c r="A871" s="56" t="s">
        <v>1991</v>
      </c>
      <c r="B871" s="56" t="s">
        <v>2987</v>
      </c>
      <c r="C871" s="57" t="s">
        <v>364</v>
      </c>
      <c r="D871" s="56" t="s">
        <v>7</v>
      </c>
      <c r="E871" s="59" t="s">
        <v>1993</v>
      </c>
      <c r="F871" s="58"/>
    </row>
    <row r="872" ht="15" customHeight="1" spans="1:6">
      <c r="A872" s="56" t="s">
        <v>1991</v>
      </c>
      <c r="B872" s="56" t="s">
        <v>2988</v>
      </c>
      <c r="C872" s="57" t="s">
        <v>362</v>
      </c>
      <c r="D872" s="56" t="s">
        <v>7</v>
      </c>
      <c r="E872" s="59" t="s">
        <v>1993</v>
      </c>
      <c r="F872" s="58"/>
    </row>
    <row r="873" ht="15" customHeight="1" spans="1:6">
      <c r="A873" s="56" t="s">
        <v>1991</v>
      </c>
      <c r="B873" s="56" t="s">
        <v>2989</v>
      </c>
      <c r="C873" s="57" t="s">
        <v>2427</v>
      </c>
      <c r="D873" s="56" t="s">
        <v>7</v>
      </c>
      <c r="E873" s="59" t="s">
        <v>1993</v>
      </c>
      <c r="F873" s="58"/>
    </row>
    <row r="874" ht="15" customHeight="1" spans="1:6">
      <c r="A874" s="56" t="s">
        <v>1991</v>
      </c>
      <c r="B874" s="56" t="s">
        <v>2990</v>
      </c>
      <c r="C874" s="57" t="s">
        <v>177</v>
      </c>
      <c r="D874" s="56" t="s">
        <v>7</v>
      </c>
      <c r="E874" s="59" t="s">
        <v>1993</v>
      </c>
      <c r="F874" s="58"/>
    </row>
    <row r="875" ht="15" customHeight="1" spans="1:6">
      <c r="A875" s="56" t="s">
        <v>1991</v>
      </c>
      <c r="B875" s="56" t="s">
        <v>2991</v>
      </c>
      <c r="C875" s="57" t="s">
        <v>177</v>
      </c>
      <c r="D875" s="56" t="s">
        <v>7</v>
      </c>
      <c r="E875" s="59" t="s">
        <v>1993</v>
      </c>
      <c r="F875" s="58"/>
    </row>
    <row r="876" ht="15" customHeight="1" spans="1:6">
      <c r="A876" s="56" t="s">
        <v>1991</v>
      </c>
      <c r="B876" s="56" t="s">
        <v>2992</v>
      </c>
      <c r="C876" s="57" t="s">
        <v>177</v>
      </c>
      <c r="D876" s="56" t="s">
        <v>7</v>
      </c>
      <c r="E876" s="59" t="s">
        <v>1993</v>
      </c>
      <c r="F876" s="58"/>
    </row>
    <row r="877" ht="15" customHeight="1" spans="1:6">
      <c r="A877" s="56" t="s">
        <v>1991</v>
      </c>
      <c r="B877" s="56" t="s">
        <v>2993</v>
      </c>
      <c r="C877" s="57" t="s">
        <v>177</v>
      </c>
      <c r="D877" s="56" t="s">
        <v>7</v>
      </c>
      <c r="E877" s="59" t="s">
        <v>1993</v>
      </c>
      <c r="F877" s="58"/>
    </row>
    <row r="878" ht="15" customHeight="1" spans="1:6">
      <c r="A878" s="56" t="s">
        <v>1991</v>
      </c>
      <c r="B878" s="56" t="s">
        <v>2994</v>
      </c>
      <c r="C878" s="57" t="s">
        <v>177</v>
      </c>
      <c r="D878" s="56" t="s">
        <v>7</v>
      </c>
      <c r="E878" s="59" t="s">
        <v>1993</v>
      </c>
      <c r="F878" s="58"/>
    </row>
    <row r="879" ht="15" customHeight="1" spans="1:6">
      <c r="A879" s="56" t="s">
        <v>1991</v>
      </c>
      <c r="B879" s="56" t="s">
        <v>2995</v>
      </c>
      <c r="C879" s="57" t="s">
        <v>177</v>
      </c>
      <c r="D879" s="56" t="s">
        <v>7</v>
      </c>
      <c r="E879" s="59" t="s">
        <v>1993</v>
      </c>
      <c r="F879" s="58"/>
    </row>
    <row r="880" ht="15" customHeight="1" spans="1:6">
      <c r="A880" s="56" t="s">
        <v>1991</v>
      </c>
      <c r="B880" s="56" t="s">
        <v>2996</v>
      </c>
      <c r="C880" s="57" t="s">
        <v>177</v>
      </c>
      <c r="D880" s="56" t="s">
        <v>7</v>
      </c>
      <c r="E880" s="59" t="s">
        <v>1993</v>
      </c>
      <c r="F880" s="58"/>
    </row>
    <row r="881" ht="15" customHeight="1" spans="1:6">
      <c r="A881" s="56" t="s">
        <v>1991</v>
      </c>
      <c r="B881" s="56" t="s">
        <v>2997</v>
      </c>
      <c r="C881" s="57" t="s">
        <v>177</v>
      </c>
      <c r="D881" s="56" t="s">
        <v>7</v>
      </c>
      <c r="E881" s="59" t="s">
        <v>1993</v>
      </c>
      <c r="F881" s="58"/>
    </row>
    <row r="882" ht="15" customHeight="1" spans="1:6">
      <c r="A882" s="56" t="s">
        <v>1991</v>
      </c>
      <c r="B882" s="56" t="s">
        <v>2998</v>
      </c>
      <c r="C882" s="57" t="s">
        <v>177</v>
      </c>
      <c r="D882" s="56" t="s">
        <v>7</v>
      </c>
      <c r="E882" s="59" t="s">
        <v>1993</v>
      </c>
      <c r="F882" s="58"/>
    </row>
    <row r="883" ht="15" customHeight="1" spans="1:6">
      <c r="A883" s="56" t="s">
        <v>1991</v>
      </c>
      <c r="B883" s="56" t="s">
        <v>2999</v>
      </c>
      <c r="C883" s="57" t="s">
        <v>177</v>
      </c>
      <c r="D883" s="56" t="s">
        <v>7</v>
      </c>
      <c r="E883" s="59" t="s">
        <v>1993</v>
      </c>
      <c r="F883" s="58"/>
    </row>
    <row r="884" ht="15" customHeight="1" spans="1:6">
      <c r="A884" s="56" t="s">
        <v>1991</v>
      </c>
      <c r="B884" s="56" t="s">
        <v>3000</v>
      </c>
      <c r="C884" s="57" t="s">
        <v>177</v>
      </c>
      <c r="D884" s="56" t="s">
        <v>7</v>
      </c>
      <c r="E884" s="59" t="s">
        <v>1993</v>
      </c>
      <c r="F884" s="58"/>
    </row>
    <row r="885" ht="15" customHeight="1" spans="1:6">
      <c r="A885" s="56" t="s">
        <v>1991</v>
      </c>
      <c r="B885" s="56" t="s">
        <v>3001</v>
      </c>
      <c r="C885" s="57" t="s">
        <v>177</v>
      </c>
      <c r="D885" s="56" t="s">
        <v>7</v>
      </c>
      <c r="E885" s="59" t="s">
        <v>1993</v>
      </c>
      <c r="F885" s="58"/>
    </row>
    <row r="886" ht="15" customHeight="1" spans="1:6">
      <c r="A886" s="56" t="s">
        <v>1991</v>
      </c>
      <c r="B886" s="56" t="s">
        <v>3002</v>
      </c>
      <c r="C886" s="57" t="s">
        <v>177</v>
      </c>
      <c r="D886" s="56" t="s">
        <v>7</v>
      </c>
      <c r="E886" s="59" t="s">
        <v>1993</v>
      </c>
      <c r="F886" s="58"/>
    </row>
    <row r="887" ht="15" customHeight="1" spans="1:6">
      <c r="A887" s="56" t="s">
        <v>1991</v>
      </c>
      <c r="B887" s="56" t="s">
        <v>3003</v>
      </c>
      <c r="C887" s="57" t="s">
        <v>177</v>
      </c>
      <c r="D887" s="56" t="s">
        <v>7</v>
      </c>
      <c r="E887" s="59" t="s">
        <v>1993</v>
      </c>
      <c r="F887" s="58"/>
    </row>
    <row r="888" ht="15" customHeight="1" spans="1:6">
      <c r="A888" s="56" t="s">
        <v>1991</v>
      </c>
      <c r="B888" s="56" t="s">
        <v>3004</v>
      </c>
      <c r="C888" s="57" t="s">
        <v>177</v>
      </c>
      <c r="D888" s="56" t="s">
        <v>7</v>
      </c>
      <c r="E888" s="59" t="s">
        <v>1993</v>
      </c>
      <c r="F888" s="58"/>
    </row>
    <row r="889" ht="15" customHeight="1" spans="1:6">
      <c r="A889" s="56" t="s">
        <v>1991</v>
      </c>
      <c r="B889" s="56" t="s">
        <v>3005</v>
      </c>
      <c r="C889" s="57" t="s">
        <v>177</v>
      </c>
      <c r="D889" s="56" t="s">
        <v>7</v>
      </c>
      <c r="E889" s="59" t="s">
        <v>1993</v>
      </c>
      <c r="F889" s="58"/>
    </row>
    <row r="890" ht="15" customHeight="1" spans="1:6">
      <c r="A890" s="56" t="s">
        <v>1991</v>
      </c>
      <c r="B890" s="56" t="s">
        <v>3006</v>
      </c>
      <c r="C890" s="57" t="s">
        <v>177</v>
      </c>
      <c r="D890" s="56" t="s">
        <v>7</v>
      </c>
      <c r="E890" s="59" t="s">
        <v>1993</v>
      </c>
      <c r="F890" s="58"/>
    </row>
    <row r="891" ht="15" customHeight="1" spans="1:6">
      <c r="A891" s="56" t="s">
        <v>1991</v>
      </c>
      <c r="B891" s="56" t="s">
        <v>3007</v>
      </c>
      <c r="C891" s="57" t="s">
        <v>177</v>
      </c>
      <c r="D891" s="56" t="s">
        <v>7</v>
      </c>
      <c r="E891" s="59" t="s">
        <v>1993</v>
      </c>
      <c r="F891" s="58"/>
    </row>
    <row r="892" ht="15" customHeight="1" spans="1:6">
      <c r="A892" s="56" t="s">
        <v>1991</v>
      </c>
      <c r="B892" s="56" t="s">
        <v>3008</v>
      </c>
      <c r="C892" s="57" t="s">
        <v>177</v>
      </c>
      <c r="D892" s="56" t="s">
        <v>7</v>
      </c>
      <c r="E892" s="59" t="s">
        <v>1993</v>
      </c>
      <c r="F892" s="58"/>
    </row>
    <row r="893" ht="15" customHeight="1" spans="1:6">
      <c r="A893" s="56" t="s">
        <v>1991</v>
      </c>
      <c r="B893" s="56" t="s">
        <v>3009</v>
      </c>
      <c r="C893" s="57" t="s">
        <v>177</v>
      </c>
      <c r="D893" s="56" t="s">
        <v>7</v>
      </c>
      <c r="E893" s="59" t="s">
        <v>1993</v>
      </c>
      <c r="F893" s="58"/>
    </row>
    <row r="894" ht="15" customHeight="1" spans="1:6">
      <c r="A894" s="56" t="s">
        <v>1991</v>
      </c>
      <c r="B894" s="56" t="s">
        <v>3010</v>
      </c>
      <c r="C894" s="57" t="s">
        <v>177</v>
      </c>
      <c r="D894" s="56" t="s">
        <v>7</v>
      </c>
      <c r="E894" s="59" t="s">
        <v>1993</v>
      </c>
      <c r="F894" s="58"/>
    </row>
    <row r="895" ht="15" customHeight="1" spans="1:6">
      <c r="A895" s="56" t="s">
        <v>1991</v>
      </c>
      <c r="B895" s="56" t="s">
        <v>3011</v>
      </c>
      <c r="C895" s="57" t="s">
        <v>364</v>
      </c>
      <c r="D895" s="56" t="s">
        <v>7</v>
      </c>
      <c r="E895" s="59" t="s">
        <v>1993</v>
      </c>
      <c r="F895" s="58"/>
    </row>
    <row r="896" ht="15" customHeight="1" spans="1:6">
      <c r="A896" s="56" t="s">
        <v>1991</v>
      </c>
      <c r="B896" s="56" t="s">
        <v>3012</v>
      </c>
      <c r="C896" s="57" t="s">
        <v>362</v>
      </c>
      <c r="D896" s="56" t="s">
        <v>7</v>
      </c>
      <c r="E896" s="59" t="s">
        <v>1993</v>
      </c>
      <c r="F896" s="58"/>
    </row>
    <row r="897" ht="15" customHeight="1" spans="1:6">
      <c r="A897" s="56" t="s">
        <v>1991</v>
      </c>
      <c r="B897" s="56" t="s">
        <v>3013</v>
      </c>
      <c r="C897" s="57" t="s">
        <v>2427</v>
      </c>
      <c r="D897" s="56" t="s">
        <v>7</v>
      </c>
      <c r="E897" s="59" t="s">
        <v>1993</v>
      </c>
      <c r="F897" s="58"/>
    </row>
    <row r="898" ht="15" customHeight="1" spans="1:6">
      <c r="A898" s="56" t="s">
        <v>1991</v>
      </c>
      <c r="B898" s="56" t="s">
        <v>3014</v>
      </c>
      <c r="C898" s="57" t="s">
        <v>177</v>
      </c>
      <c r="D898" s="56" t="s">
        <v>7</v>
      </c>
      <c r="E898" s="59" t="s">
        <v>1993</v>
      </c>
      <c r="F898" s="58"/>
    </row>
    <row r="899" ht="15" customHeight="1" spans="1:6">
      <c r="A899" s="56" t="s">
        <v>1991</v>
      </c>
      <c r="B899" s="56" t="s">
        <v>3015</v>
      </c>
      <c r="C899" s="57" t="s">
        <v>177</v>
      </c>
      <c r="D899" s="56" t="s">
        <v>7</v>
      </c>
      <c r="E899" s="59" t="s">
        <v>1993</v>
      </c>
      <c r="F899" s="58"/>
    </row>
    <row r="900" ht="15" customHeight="1" spans="1:6">
      <c r="A900" s="56" t="s">
        <v>1991</v>
      </c>
      <c r="B900" s="56" t="s">
        <v>3016</v>
      </c>
      <c r="C900" s="57" t="s">
        <v>177</v>
      </c>
      <c r="D900" s="56" t="s">
        <v>7</v>
      </c>
      <c r="E900" s="59" t="s">
        <v>1993</v>
      </c>
      <c r="F900" s="58"/>
    </row>
    <row r="901" ht="15" customHeight="1" spans="1:6">
      <c r="A901" s="56" t="s">
        <v>1991</v>
      </c>
      <c r="B901" s="56" t="s">
        <v>3017</v>
      </c>
      <c r="C901" s="57" t="s">
        <v>177</v>
      </c>
      <c r="D901" s="56" t="s">
        <v>7</v>
      </c>
      <c r="E901" s="59" t="s">
        <v>1993</v>
      </c>
      <c r="F901" s="58"/>
    </row>
    <row r="902" ht="15" customHeight="1" spans="1:6">
      <c r="A902" s="56" t="s">
        <v>1991</v>
      </c>
      <c r="B902" s="56" t="s">
        <v>3018</v>
      </c>
      <c r="C902" s="57" t="s">
        <v>177</v>
      </c>
      <c r="D902" s="56" t="s">
        <v>7</v>
      </c>
      <c r="E902" s="59" t="s">
        <v>1993</v>
      </c>
      <c r="F902" s="58"/>
    </row>
    <row r="903" ht="15" customHeight="1" spans="1:6">
      <c r="A903" s="56" t="s">
        <v>1991</v>
      </c>
      <c r="B903" s="56" t="s">
        <v>3019</v>
      </c>
      <c r="C903" s="57" t="s">
        <v>177</v>
      </c>
      <c r="D903" s="56" t="s">
        <v>7</v>
      </c>
      <c r="E903" s="59" t="s">
        <v>1993</v>
      </c>
      <c r="F903" s="58"/>
    </row>
    <row r="904" ht="15" customHeight="1" spans="1:6">
      <c r="A904" s="56" t="s">
        <v>1991</v>
      </c>
      <c r="B904" s="56" t="s">
        <v>3020</v>
      </c>
      <c r="C904" s="57" t="s">
        <v>177</v>
      </c>
      <c r="D904" s="56" t="s">
        <v>7</v>
      </c>
      <c r="E904" s="59" t="s">
        <v>1993</v>
      </c>
      <c r="F904" s="58"/>
    </row>
    <row r="905" ht="15" customHeight="1" spans="1:6">
      <c r="A905" s="56" t="s">
        <v>1991</v>
      </c>
      <c r="B905" s="56" t="s">
        <v>3021</v>
      </c>
      <c r="C905" s="57" t="s">
        <v>177</v>
      </c>
      <c r="D905" s="56" t="s">
        <v>7</v>
      </c>
      <c r="E905" s="59" t="s">
        <v>1993</v>
      </c>
      <c r="F905" s="58"/>
    </row>
    <row r="906" ht="15" customHeight="1" spans="1:6">
      <c r="A906" s="56" t="s">
        <v>1991</v>
      </c>
      <c r="B906" s="56" t="s">
        <v>3022</v>
      </c>
      <c r="C906" s="57" t="s">
        <v>177</v>
      </c>
      <c r="D906" s="56" t="s">
        <v>7</v>
      </c>
      <c r="E906" s="59" t="s">
        <v>1993</v>
      </c>
      <c r="F906" s="58"/>
    </row>
    <row r="907" ht="15" customHeight="1" spans="1:6">
      <c r="A907" s="56" t="s">
        <v>1991</v>
      </c>
      <c r="B907" s="56" t="s">
        <v>3023</v>
      </c>
      <c r="C907" s="57" t="s">
        <v>177</v>
      </c>
      <c r="D907" s="56" t="s">
        <v>7</v>
      </c>
      <c r="E907" s="59" t="s">
        <v>1993</v>
      </c>
      <c r="F907" s="58"/>
    </row>
    <row r="908" ht="15" customHeight="1" spans="1:6">
      <c r="A908" s="56" t="s">
        <v>1991</v>
      </c>
      <c r="B908" s="56" t="s">
        <v>3024</v>
      </c>
      <c r="C908" s="57" t="s">
        <v>177</v>
      </c>
      <c r="D908" s="56" t="s">
        <v>7</v>
      </c>
      <c r="E908" s="59" t="s">
        <v>1993</v>
      </c>
      <c r="F908" s="58"/>
    </row>
    <row r="909" ht="15" customHeight="1" spans="1:6">
      <c r="A909" s="56" t="s">
        <v>1991</v>
      </c>
      <c r="B909" s="56" t="s">
        <v>3025</v>
      </c>
      <c r="C909" s="57" t="s">
        <v>177</v>
      </c>
      <c r="D909" s="56" t="s">
        <v>7</v>
      </c>
      <c r="E909" s="59" t="s">
        <v>1993</v>
      </c>
      <c r="F909" s="58"/>
    </row>
    <row r="910" ht="15" customHeight="1" spans="1:6">
      <c r="A910" s="56" t="s">
        <v>1991</v>
      </c>
      <c r="B910" s="56" t="s">
        <v>3026</v>
      </c>
      <c r="C910" s="57" t="s">
        <v>177</v>
      </c>
      <c r="D910" s="56" t="s">
        <v>7</v>
      </c>
      <c r="E910" s="59" t="s">
        <v>1993</v>
      </c>
      <c r="F910" s="58"/>
    </row>
    <row r="911" ht="15" customHeight="1" spans="1:6">
      <c r="A911" s="56" t="s">
        <v>1991</v>
      </c>
      <c r="B911" s="56" t="s">
        <v>3027</v>
      </c>
      <c r="C911" s="57" t="s">
        <v>177</v>
      </c>
      <c r="D911" s="56" t="s">
        <v>7</v>
      </c>
      <c r="E911" s="59" t="s">
        <v>1993</v>
      </c>
      <c r="F911" s="58"/>
    </row>
    <row r="912" ht="15" customHeight="1" spans="1:6">
      <c r="A912" s="56" t="s">
        <v>1991</v>
      </c>
      <c r="B912" s="56" t="s">
        <v>3028</v>
      </c>
      <c r="C912" s="57" t="s">
        <v>177</v>
      </c>
      <c r="D912" s="56" t="s">
        <v>7</v>
      </c>
      <c r="E912" s="59" t="s">
        <v>1993</v>
      </c>
      <c r="F912" s="58"/>
    </row>
    <row r="913" ht="15" customHeight="1" spans="1:6">
      <c r="A913" s="56" t="s">
        <v>1991</v>
      </c>
      <c r="B913" s="56" t="s">
        <v>3029</v>
      </c>
      <c r="C913" s="57" t="s">
        <v>177</v>
      </c>
      <c r="D913" s="56" t="s">
        <v>7</v>
      </c>
      <c r="E913" s="59" t="s">
        <v>1993</v>
      </c>
      <c r="F913" s="58"/>
    </row>
    <row r="914" ht="15" customHeight="1" spans="1:6">
      <c r="A914" s="56" t="s">
        <v>1991</v>
      </c>
      <c r="B914" s="56" t="s">
        <v>3030</v>
      </c>
      <c r="C914" s="57" t="s">
        <v>177</v>
      </c>
      <c r="D914" s="56" t="s">
        <v>7</v>
      </c>
      <c r="E914" s="59" t="s">
        <v>1993</v>
      </c>
      <c r="F914" s="58"/>
    </row>
    <row r="915" ht="15" customHeight="1" spans="1:6">
      <c r="A915" s="56" t="s">
        <v>1991</v>
      </c>
      <c r="B915" s="56" t="s">
        <v>3031</v>
      </c>
      <c r="C915" s="57" t="s">
        <v>177</v>
      </c>
      <c r="D915" s="56" t="s">
        <v>7</v>
      </c>
      <c r="E915" s="59" t="s">
        <v>1993</v>
      </c>
      <c r="F915" s="58"/>
    </row>
    <row r="916" ht="15" customHeight="1" spans="1:6">
      <c r="A916" s="56" t="s">
        <v>1991</v>
      </c>
      <c r="B916" s="56" t="s">
        <v>3032</v>
      </c>
      <c r="C916" s="57" t="s">
        <v>177</v>
      </c>
      <c r="D916" s="56" t="s">
        <v>7</v>
      </c>
      <c r="E916" s="59" t="s">
        <v>1993</v>
      </c>
      <c r="F916" s="58"/>
    </row>
    <row r="917" ht="15" customHeight="1" spans="1:6">
      <c r="A917" s="56" t="s">
        <v>1991</v>
      </c>
      <c r="B917" s="56" t="s">
        <v>3033</v>
      </c>
      <c r="C917" s="57" t="s">
        <v>177</v>
      </c>
      <c r="D917" s="56" t="s">
        <v>7</v>
      </c>
      <c r="E917" s="59" t="s">
        <v>1993</v>
      </c>
      <c r="F917" s="58"/>
    </row>
    <row r="918" ht="15" customHeight="1" spans="1:6">
      <c r="A918" s="56" t="s">
        <v>1991</v>
      </c>
      <c r="B918" s="56" t="s">
        <v>3034</v>
      </c>
      <c r="C918" s="57" t="s">
        <v>177</v>
      </c>
      <c r="D918" s="56" t="s">
        <v>7</v>
      </c>
      <c r="E918" s="59" t="s">
        <v>1993</v>
      </c>
      <c r="F918" s="58"/>
    </row>
    <row r="919" ht="15" customHeight="1" spans="1:6">
      <c r="A919" s="56" t="s">
        <v>1991</v>
      </c>
      <c r="B919" s="56" t="s">
        <v>3035</v>
      </c>
      <c r="C919" s="57" t="s">
        <v>364</v>
      </c>
      <c r="D919" s="56" t="s">
        <v>7</v>
      </c>
      <c r="E919" s="59" t="s">
        <v>1993</v>
      </c>
      <c r="F919" s="58"/>
    </row>
    <row r="920" ht="15" customHeight="1" spans="1:6">
      <c r="A920" s="56" t="s">
        <v>1991</v>
      </c>
      <c r="B920" s="56" t="s">
        <v>3036</v>
      </c>
      <c r="C920" s="57" t="s">
        <v>362</v>
      </c>
      <c r="D920" s="56" t="s">
        <v>7</v>
      </c>
      <c r="E920" s="59" t="s">
        <v>1993</v>
      </c>
      <c r="F920" s="58"/>
    </row>
    <row r="921" ht="15" customHeight="1" spans="1:6">
      <c r="A921" s="56" t="s">
        <v>1991</v>
      </c>
      <c r="B921" s="56" t="s">
        <v>3037</v>
      </c>
      <c r="C921" s="57" t="s">
        <v>2427</v>
      </c>
      <c r="D921" s="56" t="s">
        <v>7</v>
      </c>
      <c r="E921" s="59" t="s">
        <v>1993</v>
      </c>
      <c r="F921" s="58"/>
    </row>
    <row r="922" ht="15" customHeight="1" spans="1:6">
      <c r="A922" s="56" t="s">
        <v>1991</v>
      </c>
      <c r="B922" s="56" t="s">
        <v>3038</v>
      </c>
      <c r="C922" s="57" t="s">
        <v>177</v>
      </c>
      <c r="D922" s="56" t="s">
        <v>7</v>
      </c>
      <c r="E922" s="59" t="s">
        <v>1993</v>
      </c>
      <c r="F922" s="58"/>
    </row>
    <row r="923" ht="15" customHeight="1" spans="1:6">
      <c r="A923" s="56" t="s">
        <v>1991</v>
      </c>
      <c r="B923" s="56" t="s">
        <v>3039</v>
      </c>
      <c r="C923" s="57" t="s">
        <v>177</v>
      </c>
      <c r="D923" s="56" t="s">
        <v>7</v>
      </c>
      <c r="E923" s="59" t="s">
        <v>1993</v>
      </c>
      <c r="F923" s="58"/>
    </row>
    <row r="924" ht="15" customHeight="1" spans="1:6">
      <c r="A924" s="56" t="s">
        <v>1991</v>
      </c>
      <c r="B924" s="56" t="s">
        <v>3040</v>
      </c>
      <c r="C924" s="57" t="s">
        <v>177</v>
      </c>
      <c r="D924" s="56" t="s">
        <v>7</v>
      </c>
      <c r="E924" s="59" t="s">
        <v>1993</v>
      </c>
      <c r="F924" s="58"/>
    </row>
    <row r="925" ht="15" customHeight="1" spans="1:6">
      <c r="A925" s="56" t="s">
        <v>1991</v>
      </c>
      <c r="B925" s="56" t="s">
        <v>3041</v>
      </c>
      <c r="C925" s="57" t="s">
        <v>177</v>
      </c>
      <c r="D925" s="56" t="s">
        <v>7</v>
      </c>
      <c r="E925" s="59" t="s">
        <v>1993</v>
      </c>
      <c r="F925" s="58"/>
    </row>
    <row r="926" ht="15" customHeight="1" spans="1:6">
      <c r="A926" s="56" t="s">
        <v>1991</v>
      </c>
      <c r="B926" s="56" t="s">
        <v>3042</v>
      </c>
      <c r="C926" s="57" t="s">
        <v>177</v>
      </c>
      <c r="D926" s="56" t="s">
        <v>7</v>
      </c>
      <c r="E926" s="59" t="s">
        <v>1993</v>
      </c>
      <c r="F926" s="58"/>
    </row>
    <row r="927" ht="15" customHeight="1" spans="1:6">
      <c r="A927" s="56" t="s">
        <v>1991</v>
      </c>
      <c r="B927" s="56" t="s">
        <v>3043</v>
      </c>
      <c r="C927" s="57" t="s">
        <v>177</v>
      </c>
      <c r="D927" s="56" t="s">
        <v>7</v>
      </c>
      <c r="E927" s="59" t="s">
        <v>1993</v>
      </c>
      <c r="F927" s="58"/>
    </row>
    <row r="928" ht="15" customHeight="1" spans="1:6">
      <c r="A928" s="56" t="s">
        <v>1991</v>
      </c>
      <c r="B928" s="56" t="s">
        <v>3044</v>
      </c>
      <c r="C928" s="57" t="s">
        <v>177</v>
      </c>
      <c r="D928" s="56" t="s">
        <v>7</v>
      </c>
      <c r="E928" s="59" t="s">
        <v>1993</v>
      </c>
      <c r="F928" s="58"/>
    </row>
    <row r="929" ht="15" customHeight="1" spans="1:6">
      <c r="A929" s="56" t="s">
        <v>1991</v>
      </c>
      <c r="B929" s="56" t="s">
        <v>3045</v>
      </c>
      <c r="C929" s="57" t="s">
        <v>177</v>
      </c>
      <c r="D929" s="56" t="s">
        <v>7</v>
      </c>
      <c r="E929" s="59" t="s">
        <v>1993</v>
      </c>
      <c r="F929" s="58"/>
    </row>
    <row r="930" ht="15" customHeight="1" spans="1:6">
      <c r="A930" s="56" t="s">
        <v>1991</v>
      </c>
      <c r="B930" s="56" t="s">
        <v>3046</v>
      </c>
      <c r="C930" s="57" t="s">
        <v>177</v>
      </c>
      <c r="D930" s="56" t="s">
        <v>7</v>
      </c>
      <c r="E930" s="59" t="s">
        <v>1993</v>
      </c>
      <c r="F930" s="58"/>
    </row>
    <row r="931" ht="15" customHeight="1" spans="1:6">
      <c r="A931" s="56" t="s">
        <v>1991</v>
      </c>
      <c r="B931" s="56" t="s">
        <v>3047</v>
      </c>
      <c r="C931" s="57" t="s">
        <v>177</v>
      </c>
      <c r="D931" s="56" t="s">
        <v>7</v>
      </c>
      <c r="E931" s="59" t="s">
        <v>1993</v>
      </c>
      <c r="F931" s="58"/>
    </row>
    <row r="932" ht="15" customHeight="1" spans="1:6">
      <c r="A932" s="56" t="s">
        <v>1991</v>
      </c>
      <c r="B932" s="56" t="s">
        <v>3048</v>
      </c>
      <c r="C932" s="57" t="s">
        <v>177</v>
      </c>
      <c r="D932" s="56" t="s">
        <v>7</v>
      </c>
      <c r="E932" s="59" t="s">
        <v>1993</v>
      </c>
      <c r="F932" s="58"/>
    </row>
    <row r="933" ht="15" customHeight="1" spans="1:6">
      <c r="A933" s="56" t="s">
        <v>1991</v>
      </c>
      <c r="B933" s="56" t="s">
        <v>3049</v>
      </c>
      <c r="C933" s="57" t="s">
        <v>177</v>
      </c>
      <c r="D933" s="56" t="s">
        <v>7</v>
      </c>
      <c r="E933" s="59" t="s">
        <v>1993</v>
      </c>
      <c r="F933" s="58"/>
    </row>
    <row r="934" ht="15" customHeight="1" spans="1:6">
      <c r="A934" s="56" t="s">
        <v>1991</v>
      </c>
      <c r="B934" s="56" t="s">
        <v>3050</v>
      </c>
      <c r="C934" s="57" t="s">
        <v>177</v>
      </c>
      <c r="D934" s="56" t="s">
        <v>7</v>
      </c>
      <c r="E934" s="59" t="s">
        <v>1993</v>
      </c>
      <c r="F934" s="58"/>
    </row>
    <row r="935" ht="15" customHeight="1" spans="1:6">
      <c r="A935" s="56" t="s">
        <v>1991</v>
      </c>
      <c r="B935" s="56" t="s">
        <v>3051</v>
      </c>
      <c r="C935" s="57" t="s">
        <v>177</v>
      </c>
      <c r="D935" s="56" t="s">
        <v>7</v>
      </c>
      <c r="E935" s="59" t="s">
        <v>1993</v>
      </c>
      <c r="F935" s="58"/>
    </row>
    <row r="936" ht="15" customHeight="1" spans="1:6">
      <c r="A936" s="56" t="s">
        <v>1991</v>
      </c>
      <c r="B936" s="56" t="s">
        <v>3052</v>
      </c>
      <c r="C936" s="57" t="s">
        <v>177</v>
      </c>
      <c r="D936" s="56" t="s">
        <v>7</v>
      </c>
      <c r="E936" s="59" t="s">
        <v>1993</v>
      </c>
      <c r="F936" s="58"/>
    </row>
    <row r="937" ht="15" customHeight="1" spans="1:6">
      <c r="A937" s="56" t="s">
        <v>1991</v>
      </c>
      <c r="B937" s="56" t="s">
        <v>3053</v>
      </c>
      <c r="C937" s="57" t="s">
        <v>177</v>
      </c>
      <c r="D937" s="56" t="s">
        <v>7</v>
      </c>
      <c r="E937" s="59" t="s">
        <v>1993</v>
      </c>
      <c r="F937" s="58"/>
    </row>
    <row r="938" ht="15" customHeight="1" spans="1:6">
      <c r="A938" s="56" t="s">
        <v>1991</v>
      </c>
      <c r="B938" s="56" t="s">
        <v>3054</v>
      </c>
      <c r="C938" s="57" t="s">
        <v>177</v>
      </c>
      <c r="D938" s="56" t="s">
        <v>7</v>
      </c>
      <c r="E938" s="59" t="s">
        <v>1993</v>
      </c>
      <c r="F938" s="58"/>
    </row>
    <row r="939" ht="15" customHeight="1" spans="1:6">
      <c r="A939" s="56" t="s">
        <v>1991</v>
      </c>
      <c r="B939" s="56" t="s">
        <v>3055</v>
      </c>
      <c r="C939" s="57" t="s">
        <v>177</v>
      </c>
      <c r="D939" s="56" t="s">
        <v>7</v>
      </c>
      <c r="E939" s="59" t="s">
        <v>1993</v>
      </c>
      <c r="F939" s="58"/>
    </row>
    <row r="940" ht="15" customHeight="1" spans="1:6">
      <c r="A940" s="56" t="s">
        <v>1991</v>
      </c>
      <c r="B940" s="56" t="s">
        <v>3056</v>
      </c>
      <c r="C940" s="57" t="s">
        <v>177</v>
      </c>
      <c r="D940" s="56" t="s">
        <v>7</v>
      </c>
      <c r="E940" s="59" t="s">
        <v>1993</v>
      </c>
      <c r="F940" s="58"/>
    </row>
    <row r="941" ht="15" customHeight="1" spans="1:6">
      <c r="A941" s="56" t="s">
        <v>1991</v>
      </c>
      <c r="B941" s="56" t="s">
        <v>3057</v>
      </c>
      <c r="C941" s="57" t="s">
        <v>177</v>
      </c>
      <c r="D941" s="56" t="s">
        <v>7</v>
      </c>
      <c r="E941" s="59" t="s">
        <v>1993</v>
      </c>
      <c r="F941" s="58"/>
    </row>
    <row r="942" ht="15" customHeight="1" spans="1:6">
      <c r="A942" s="56" t="s">
        <v>1991</v>
      </c>
      <c r="B942" s="56" t="s">
        <v>3058</v>
      </c>
      <c r="C942" s="57" t="s">
        <v>177</v>
      </c>
      <c r="D942" s="56" t="s">
        <v>7</v>
      </c>
      <c r="E942" s="59" t="s">
        <v>1993</v>
      </c>
      <c r="F942" s="58"/>
    </row>
    <row r="943" ht="15" customHeight="1" spans="1:6">
      <c r="A943" s="56" t="s">
        <v>1991</v>
      </c>
      <c r="B943" s="56" t="s">
        <v>3059</v>
      </c>
      <c r="C943" s="57" t="s">
        <v>364</v>
      </c>
      <c r="D943" s="56" t="s">
        <v>7</v>
      </c>
      <c r="E943" s="59" t="s">
        <v>1993</v>
      </c>
      <c r="F943" s="58"/>
    </row>
    <row r="944" ht="15" customHeight="1" spans="1:6">
      <c r="A944" s="56" t="s">
        <v>1991</v>
      </c>
      <c r="B944" s="56" t="s">
        <v>3060</v>
      </c>
      <c r="C944" s="57" t="s">
        <v>362</v>
      </c>
      <c r="D944" s="56" t="s">
        <v>7</v>
      </c>
      <c r="E944" s="59" t="s">
        <v>1993</v>
      </c>
      <c r="F944" s="58"/>
    </row>
    <row r="945" ht="15" customHeight="1" spans="1:6">
      <c r="A945" s="56" t="s">
        <v>1991</v>
      </c>
      <c r="B945" s="56" t="s">
        <v>3061</v>
      </c>
      <c r="C945" s="57" t="s">
        <v>2427</v>
      </c>
      <c r="D945" s="56" t="s">
        <v>7</v>
      </c>
      <c r="E945" s="59" t="s">
        <v>1993</v>
      </c>
      <c r="F945" s="58"/>
    </row>
    <row r="946" ht="15" customHeight="1" spans="1:6">
      <c r="A946" s="56" t="s">
        <v>1991</v>
      </c>
      <c r="B946" s="56" t="s">
        <v>3062</v>
      </c>
      <c r="C946" s="57" t="s">
        <v>96</v>
      </c>
      <c r="D946" s="56" t="s">
        <v>7</v>
      </c>
      <c r="E946" s="59" t="s">
        <v>1993</v>
      </c>
      <c r="F946" s="58"/>
    </row>
    <row r="947" ht="15" customHeight="1" spans="1:6">
      <c r="A947" s="56" t="s">
        <v>1991</v>
      </c>
      <c r="B947" s="56" t="s">
        <v>3063</v>
      </c>
      <c r="C947" s="57" t="s">
        <v>49</v>
      </c>
      <c r="D947" s="56" t="s">
        <v>7</v>
      </c>
      <c r="E947" s="59" t="s">
        <v>1993</v>
      </c>
      <c r="F947" s="58"/>
    </row>
    <row r="948" ht="15" customHeight="1" spans="1:6">
      <c r="A948" s="56" t="s">
        <v>1991</v>
      </c>
      <c r="B948" s="56" t="s">
        <v>3064</v>
      </c>
      <c r="C948" s="57" t="s">
        <v>362</v>
      </c>
      <c r="D948" s="56" t="s">
        <v>7</v>
      </c>
      <c r="E948" s="59" t="s">
        <v>1993</v>
      </c>
      <c r="F948" s="58"/>
    </row>
    <row r="949" ht="15" customHeight="1" spans="1:6">
      <c r="A949" s="56" t="s">
        <v>1991</v>
      </c>
      <c r="B949" s="56" t="s">
        <v>3065</v>
      </c>
      <c r="C949" s="57" t="s">
        <v>49</v>
      </c>
      <c r="D949" s="56" t="s">
        <v>7</v>
      </c>
      <c r="E949" s="59" t="s">
        <v>1993</v>
      </c>
      <c r="F949" s="58"/>
    </row>
    <row r="950" ht="15" customHeight="1" spans="1:6">
      <c r="A950" s="56" t="s">
        <v>1991</v>
      </c>
      <c r="B950" s="56" t="s">
        <v>3066</v>
      </c>
      <c r="C950" s="57" t="s">
        <v>177</v>
      </c>
      <c r="D950" s="56" t="s">
        <v>7</v>
      </c>
      <c r="E950" s="59" t="s">
        <v>1993</v>
      </c>
      <c r="F950" s="58"/>
    </row>
    <row r="951" ht="15" customHeight="1" spans="1:6">
      <c r="A951" s="56" t="s">
        <v>1991</v>
      </c>
      <c r="B951" s="56" t="s">
        <v>3067</v>
      </c>
      <c r="C951" s="57" t="s">
        <v>177</v>
      </c>
      <c r="D951" s="56" t="s">
        <v>7</v>
      </c>
      <c r="E951" s="59" t="s">
        <v>1993</v>
      </c>
      <c r="F951" s="58"/>
    </row>
    <row r="952" ht="15" customHeight="1" spans="1:6">
      <c r="A952" s="56" t="s">
        <v>1991</v>
      </c>
      <c r="B952" s="56" t="s">
        <v>3068</v>
      </c>
      <c r="C952" s="57" t="s">
        <v>177</v>
      </c>
      <c r="D952" s="56" t="s">
        <v>7</v>
      </c>
      <c r="E952" s="59" t="s">
        <v>1993</v>
      </c>
      <c r="F952" s="58"/>
    </row>
    <row r="953" ht="15" customHeight="1" spans="1:6">
      <c r="A953" s="56" t="s">
        <v>1991</v>
      </c>
      <c r="B953" s="56" t="s">
        <v>3069</v>
      </c>
      <c r="C953" s="57" t="s">
        <v>177</v>
      </c>
      <c r="D953" s="56" t="s">
        <v>7</v>
      </c>
      <c r="E953" s="59" t="s">
        <v>1993</v>
      </c>
      <c r="F953" s="58"/>
    </row>
    <row r="954" ht="15" customHeight="1" spans="1:6">
      <c r="A954" s="56" t="s">
        <v>1991</v>
      </c>
      <c r="B954" s="56" t="s">
        <v>3070</v>
      </c>
      <c r="C954" s="57" t="s">
        <v>177</v>
      </c>
      <c r="D954" s="56" t="s">
        <v>7</v>
      </c>
      <c r="E954" s="59" t="s">
        <v>1993</v>
      </c>
      <c r="F954" s="58"/>
    </row>
    <row r="955" ht="15" customHeight="1" spans="1:6">
      <c r="A955" s="56" t="s">
        <v>1991</v>
      </c>
      <c r="B955" s="56" t="s">
        <v>3071</v>
      </c>
      <c r="C955" s="57" t="s">
        <v>177</v>
      </c>
      <c r="D955" s="56" t="s">
        <v>7</v>
      </c>
      <c r="E955" s="59" t="s">
        <v>1993</v>
      </c>
      <c r="F955" s="58"/>
    </row>
    <row r="956" ht="15" customHeight="1" spans="1:6">
      <c r="A956" s="56" t="s">
        <v>1991</v>
      </c>
      <c r="B956" s="56" t="s">
        <v>3072</v>
      </c>
      <c r="C956" s="57" t="s">
        <v>177</v>
      </c>
      <c r="D956" s="56" t="s">
        <v>7</v>
      </c>
      <c r="E956" s="59" t="s">
        <v>1993</v>
      </c>
      <c r="F956" s="58"/>
    </row>
    <row r="957" ht="15" customHeight="1" spans="1:6">
      <c r="A957" s="56" t="s">
        <v>1991</v>
      </c>
      <c r="B957" s="56" t="s">
        <v>3073</v>
      </c>
      <c r="C957" s="57" t="s">
        <v>177</v>
      </c>
      <c r="D957" s="56" t="s">
        <v>7</v>
      </c>
      <c r="E957" s="59" t="s">
        <v>1993</v>
      </c>
      <c r="F957" s="58"/>
    </row>
    <row r="958" ht="15" customHeight="1" spans="1:6">
      <c r="A958" s="56" t="s">
        <v>1991</v>
      </c>
      <c r="B958" s="56" t="s">
        <v>3074</v>
      </c>
      <c r="C958" s="57" t="s">
        <v>177</v>
      </c>
      <c r="D958" s="56" t="s">
        <v>7</v>
      </c>
      <c r="E958" s="59" t="s">
        <v>1993</v>
      </c>
      <c r="F958" s="58"/>
    </row>
    <row r="959" ht="15" customHeight="1" spans="1:6">
      <c r="A959" s="56" t="s">
        <v>1991</v>
      </c>
      <c r="B959" s="56" t="s">
        <v>3075</v>
      </c>
      <c r="C959" s="57" t="s">
        <v>177</v>
      </c>
      <c r="D959" s="56" t="s">
        <v>7</v>
      </c>
      <c r="E959" s="59" t="s">
        <v>1993</v>
      </c>
      <c r="F959" s="58"/>
    </row>
    <row r="960" ht="15" customHeight="1" spans="1:6">
      <c r="A960" s="56" t="s">
        <v>1991</v>
      </c>
      <c r="B960" s="56" t="s">
        <v>3076</v>
      </c>
      <c r="C960" s="57" t="s">
        <v>177</v>
      </c>
      <c r="D960" s="56" t="s">
        <v>7</v>
      </c>
      <c r="E960" s="59" t="s">
        <v>1993</v>
      </c>
      <c r="F960" s="58"/>
    </row>
    <row r="961" ht="15" customHeight="1" spans="1:6">
      <c r="A961" s="56" t="s">
        <v>1991</v>
      </c>
      <c r="B961" s="56" t="s">
        <v>3077</v>
      </c>
      <c r="C961" s="57" t="s">
        <v>177</v>
      </c>
      <c r="D961" s="56" t="s">
        <v>7</v>
      </c>
      <c r="E961" s="59" t="s">
        <v>1993</v>
      </c>
      <c r="F961" s="58"/>
    </row>
    <row r="962" ht="15" customHeight="1" spans="1:6">
      <c r="A962" s="56" t="s">
        <v>1991</v>
      </c>
      <c r="B962" s="56" t="s">
        <v>3078</v>
      </c>
      <c r="C962" s="57" t="s">
        <v>177</v>
      </c>
      <c r="D962" s="56" t="s">
        <v>7</v>
      </c>
      <c r="E962" s="59" t="s">
        <v>1993</v>
      </c>
      <c r="F962" s="58"/>
    </row>
    <row r="963" ht="15" customHeight="1" spans="1:6">
      <c r="A963" s="56" t="s">
        <v>1991</v>
      </c>
      <c r="B963" s="56" t="s">
        <v>3079</v>
      </c>
      <c r="C963" s="57" t="s">
        <v>177</v>
      </c>
      <c r="D963" s="56" t="s">
        <v>7</v>
      </c>
      <c r="E963" s="59" t="s">
        <v>1993</v>
      </c>
      <c r="F963" s="58"/>
    </row>
    <row r="964" ht="15" customHeight="1" spans="1:6">
      <c r="A964" s="56" t="s">
        <v>1991</v>
      </c>
      <c r="B964" s="56" t="s">
        <v>3080</v>
      </c>
      <c r="C964" s="57" t="s">
        <v>177</v>
      </c>
      <c r="D964" s="56" t="s">
        <v>7</v>
      </c>
      <c r="E964" s="59" t="s">
        <v>1993</v>
      </c>
      <c r="F964" s="58"/>
    </row>
    <row r="965" ht="15" customHeight="1" spans="1:6">
      <c r="A965" s="56" t="s">
        <v>1991</v>
      </c>
      <c r="B965" s="56" t="s">
        <v>3081</v>
      </c>
      <c r="C965" s="57" t="s">
        <v>364</v>
      </c>
      <c r="D965" s="56" t="s">
        <v>7</v>
      </c>
      <c r="E965" s="59" t="s">
        <v>1993</v>
      </c>
      <c r="F965" s="58"/>
    </row>
    <row r="966" ht="15" customHeight="1" spans="1:6">
      <c r="A966" s="56" t="s">
        <v>1991</v>
      </c>
      <c r="B966" s="56" t="s">
        <v>3082</v>
      </c>
      <c r="C966" s="57" t="s">
        <v>362</v>
      </c>
      <c r="D966" s="56" t="s">
        <v>7</v>
      </c>
      <c r="E966" s="59" t="s">
        <v>1993</v>
      </c>
      <c r="F966" s="58"/>
    </row>
    <row r="967" ht="15" customHeight="1" spans="1:6">
      <c r="A967" s="56" t="s">
        <v>1991</v>
      </c>
      <c r="B967" s="56" t="s">
        <v>3083</v>
      </c>
      <c r="C967" s="57" t="s">
        <v>2427</v>
      </c>
      <c r="D967" s="56" t="s">
        <v>7</v>
      </c>
      <c r="E967" s="59" t="s">
        <v>1993</v>
      </c>
      <c r="F967" s="58"/>
    </row>
    <row r="968" ht="15" customHeight="1" spans="1:6">
      <c r="A968" s="56" t="s">
        <v>1991</v>
      </c>
      <c r="B968" s="56" t="s">
        <v>3084</v>
      </c>
      <c r="C968" s="57" t="s">
        <v>2066</v>
      </c>
      <c r="D968" s="56" t="s">
        <v>7</v>
      </c>
      <c r="E968" s="59" t="s">
        <v>1993</v>
      </c>
      <c r="F968" s="58"/>
    </row>
    <row r="969" ht="15" customHeight="1" spans="1:6">
      <c r="A969" s="56" t="s">
        <v>1991</v>
      </c>
      <c r="B969" s="56" t="s">
        <v>3085</v>
      </c>
      <c r="C969" s="57" t="s">
        <v>2066</v>
      </c>
      <c r="D969" s="56" t="s">
        <v>7</v>
      </c>
      <c r="E969" s="59" t="s">
        <v>1993</v>
      </c>
      <c r="F969" s="58"/>
    </row>
    <row r="970" ht="15" customHeight="1" spans="1:6">
      <c r="A970" s="56" t="s">
        <v>1991</v>
      </c>
      <c r="B970" s="56" t="s">
        <v>3086</v>
      </c>
      <c r="C970" s="57" t="s">
        <v>2066</v>
      </c>
      <c r="D970" s="56" t="s">
        <v>7</v>
      </c>
      <c r="E970" s="59" t="s">
        <v>1993</v>
      </c>
      <c r="F970" s="58"/>
    </row>
    <row r="971" ht="15" customHeight="1" spans="1:6">
      <c r="A971" s="56" t="s">
        <v>1991</v>
      </c>
      <c r="B971" s="56" t="s">
        <v>3087</v>
      </c>
      <c r="C971" s="57" t="s">
        <v>914</v>
      </c>
      <c r="D971" s="56" t="s">
        <v>7</v>
      </c>
      <c r="E971" s="59" t="s">
        <v>1993</v>
      </c>
      <c r="F971" s="58"/>
    </row>
    <row r="972" ht="15" customHeight="1" spans="1:6">
      <c r="A972" s="56" t="s">
        <v>1991</v>
      </c>
      <c r="B972" s="56" t="s">
        <v>3088</v>
      </c>
      <c r="C972" s="57" t="s">
        <v>2594</v>
      </c>
      <c r="D972" s="56" t="s">
        <v>7</v>
      </c>
      <c r="E972" s="59" t="s">
        <v>1993</v>
      </c>
      <c r="F972" s="58"/>
    </row>
    <row r="973" ht="15" customHeight="1" spans="1:6">
      <c r="A973" s="56" t="s">
        <v>1991</v>
      </c>
      <c r="B973" s="56" t="s">
        <v>3089</v>
      </c>
      <c r="C973" s="57" t="s">
        <v>177</v>
      </c>
      <c r="D973" s="56" t="s">
        <v>7</v>
      </c>
      <c r="E973" s="59" t="s">
        <v>1993</v>
      </c>
      <c r="F973" s="58"/>
    </row>
    <row r="974" ht="15" customHeight="1" spans="1:6">
      <c r="A974" s="56" t="s">
        <v>1991</v>
      </c>
      <c r="B974" s="56" t="s">
        <v>3090</v>
      </c>
      <c r="C974" s="57" t="s">
        <v>177</v>
      </c>
      <c r="D974" s="56" t="s">
        <v>7</v>
      </c>
      <c r="E974" s="59" t="s">
        <v>1993</v>
      </c>
      <c r="F974" s="58"/>
    </row>
    <row r="975" ht="15" customHeight="1" spans="1:6">
      <c r="A975" s="56" t="s">
        <v>1991</v>
      </c>
      <c r="B975" s="56" t="s">
        <v>3091</v>
      </c>
      <c r="C975" s="57" t="s">
        <v>177</v>
      </c>
      <c r="D975" s="56" t="s">
        <v>7</v>
      </c>
      <c r="E975" s="59" t="s">
        <v>1993</v>
      </c>
      <c r="F975" s="58"/>
    </row>
    <row r="976" ht="15" customHeight="1" spans="1:6">
      <c r="A976" s="56" t="s">
        <v>1991</v>
      </c>
      <c r="B976" s="56" t="s">
        <v>3092</v>
      </c>
      <c r="C976" s="57" t="s">
        <v>177</v>
      </c>
      <c r="D976" s="56" t="s">
        <v>7</v>
      </c>
      <c r="E976" s="59" t="s">
        <v>1993</v>
      </c>
      <c r="F976" s="58"/>
    </row>
    <row r="977" ht="15" customHeight="1" spans="1:6">
      <c r="A977" s="56" t="s">
        <v>1991</v>
      </c>
      <c r="B977" s="56" t="s">
        <v>3093</v>
      </c>
      <c r="C977" s="57" t="s">
        <v>177</v>
      </c>
      <c r="D977" s="56" t="s">
        <v>7</v>
      </c>
      <c r="E977" s="59" t="s">
        <v>1993</v>
      </c>
      <c r="F977" s="58"/>
    </row>
    <row r="978" ht="15" customHeight="1" spans="1:6">
      <c r="A978" s="56" t="s">
        <v>1991</v>
      </c>
      <c r="B978" s="56" t="s">
        <v>3094</v>
      </c>
      <c r="C978" s="57" t="s">
        <v>177</v>
      </c>
      <c r="D978" s="56" t="s">
        <v>7</v>
      </c>
      <c r="E978" s="59" t="s">
        <v>1993</v>
      </c>
      <c r="F978" s="58"/>
    </row>
    <row r="979" ht="15" customHeight="1" spans="1:6">
      <c r="A979" s="56" t="s">
        <v>1991</v>
      </c>
      <c r="B979" s="56" t="s">
        <v>3095</v>
      </c>
      <c r="C979" s="57" t="s">
        <v>177</v>
      </c>
      <c r="D979" s="56" t="s">
        <v>7</v>
      </c>
      <c r="E979" s="59" t="s">
        <v>1993</v>
      </c>
      <c r="F979" s="58"/>
    </row>
    <row r="980" ht="15" customHeight="1" spans="1:6">
      <c r="A980" s="56" t="s">
        <v>1991</v>
      </c>
      <c r="B980" s="56" t="s">
        <v>3096</v>
      </c>
      <c r="C980" s="57" t="s">
        <v>177</v>
      </c>
      <c r="D980" s="56" t="s">
        <v>7</v>
      </c>
      <c r="E980" s="59" t="s">
        <v>1993</v>
      </c>
      <c r="F980" s="58"/>
    </row>
    <row r="981" ht="15" customHeight="1" spans="1:6">
      <c r="A981" s="56" t="s">
        <v>1991</v>
      </c>
      <c r="B981" s="56" t="s">
        <v>3097</v>
      </c>
      <c r="C981" s="57" t="s">
        <v>177</v>
      </c>
      <c r="D981" s="56" t="s">
        <v>7</v>
      </c>
      <c r="E981" s="59" t="s">
        <v>1993</v>
      </c>
      <c r="F981" s="58"/>
    </row>
    <row r="982" ht="15" customHeight="1" spans="1:6">
      <c r="A982" s="56" t="s">
        <v>1991</v>
      </c>
      <c r="B982" s="56" t="s">
        <v>3098</v>
      </c>
      <c r="C982" s="57" t="s">
        <v>177</v>
      </c>
      <c r="D982" s="56" t="s">
        <v>7</v>
      </c>
      <c r="E982" s="59" t="s">
        <v>1993</v>
      </c>
      <c r="F982" s="58"/>
    </row>
    <row r="983" ht="15" customHeight="1" spans="1:6">
      <c r="A983" s="56" t="s">
        <v>1991</v>
      </c>
      <c r="B983" s="56" t="s">
        <v>3099</v>
      </c>
      <c r="C983" s="57" t="s">
        <v>177</v>
      </c>
      <c r="D983" s="56" t="s">
        <v>7</v>
      </c>
      <c r="E983" s="59" t="s">
        <v>1993</v>
      </c>
      <c r="F983" s="58"/>
    </row>
    <row r="984" ht="15" customHeight="1" spans="1:6">
      <c r="A984" s="56" t="s">
        <v>1991</v>
      </c>
      <c r="B984" s="56" t="s">
        <v>3100</v>
      </c>
      <c r="C984" s="57" t="s">
        <v>177</v>
      </c>
      <c r="D984" s="56" t="s">
        <v>7</v>
      </c>
      <c r="E984" s="59" t="s">
        <v>1993</v>
      </c>
      <c r="F984" s="58"/>
    </row>
    <row r="985" ht="15" customHeight="1" spans="1:6">
      <c r="A985" s="56" t="s">
        <v>1991</v>
      </c>
      <c r="B985" s="56" t="s">
        <v>3101</v>
      </c>
      <c r="C985" s="57" t="s">
        <v>177</v>
      </c>
      <c r="D985" s="56" t="s">
        <v>7</v>
      </c>
      <c r="E985" s="59" t="s">
        <v>1993</v>
      </c>
      <c r="F985" s="58"/>
    </row>
    <row r="986" ht="15" customHeight="1" spans="1:6">
      <c r="A986" s="56" t="s">
        <v>1991</v>
      </c>
      <c r="B986" s="56" t="s">
        <v>3102</v>
      </c>
      <c r="C986" s="57" t="s">
        <v>177</v>
      </c>
      <c r="D986" s="56" t="s">
        <v>7</v>
      </c>
      <c r="E986" s="59" t="s">
        <v>1993</v>
      </c>
      <c r="F986" s="58"/>
    </row>
    <row r="987" ht="15" customHeight="1" spans="1:6">
      <c r="A987" s="56" t="s">
        <v>1991</v>
      </c>
      <c r="B987" s="56" t="s">
        <v>3103</v>
      </c>
      <c r="C987" s="57" t="s">
        <v>177</v>
      </c>
      <c r="D987" s="56" t="s">
        <v>7</v>
      </c>
      <c r="E987" s="59" t="s">
        <v>1993</v>
      </c>
      <c r="F987" s="58"/>
    </row>
    <row r="988" ht="15" customHeight="1" spans="1:6">
      <c r="A988" s="56" t="s">
        <v>1991</v>
      </c>
      <c r="B988" s="56" t="s">
        <v>3104</v>
      </c>
      <c r="C988" s="57" t="s">
        <v>177</v>
      </c>
      <c r="D988" s="56" t="s">
        <v>7</v>
      </c>
      <c r="E988" s="59" t="s">
        <v>1993</v>
      </c>
      <c r="F988" s="58"/>
    </row>
    <row r="989" ht="15" customHeight="1" spans="1:6">
      <c r="A989" s="56" t="s">
        <v>1991</v>
      </c>
      <c r="B989" s="56" t="s">
        <v>3105</v>
      </c>
      <c r="C989" s="57" t="s">
        <v>364</v>
      </c>
      <c r="D989" s="56" t="s">
        <v>7</v>
      </c>
      <c r="E989" s="59" t="s">
        <v>1993</v>
      </c>
      <c r="F989" s="58"/>
    </row>
    <row r="990" ht="15" customHeight="1" spans="1:6">
      <c r="A990" s="56" t="s">
        <v>1991</v>
      </c>
      <c r="B990" s="56" t="s">
        <v>3106</v>
      </c>
      <c r="C990" s="57" t="s">
        <v>362</v>
      </c>
      <c r="D990" s="56" t="s">
        <v>7</v>
      </c>
      <c r="E990" s="59" t="s">
        <v>1993</v>
      </c>
      <c r="F990" s="58"/>
    </row>
    <row r="991" ht="15" customHeight="1" spans="1:6">
      <c r="A991" s="56" t="s">
        <v>1991</v>
      </c>
      <c r="B991" s="56" t="s">
        <v>3107</v>
      </c>
      <c r="C991" s="57" t="s">
        <v>2592</v>
      </c>
      <c r="D991" s="56" t="s">
        <v>7</v>
      </c>
      <c r="E991" s="59" t="s">
        <v>1993</v>
      </c>
      <c r="F991" s="58"/>
    </row>
    <row r="992" ht="15" customHeight="1" spans="1:6">
      <c r="A992" s="56" t="s">
        <v>1991</v>
      </c>
      <c r="B992" s="56" t="s">
        <v>3108</v>
      </c>
      <c r="C992" s="57" t="s">
        <v>49</v>
      </c>
      <c r="D992" s="56" t="s">
        <v>7</v>
      </c>
      <c r="E992" s="59" t="s">
        <v>1993</v>
      </c>
      <c r="F992" s="58"/>
    </row>
    <row r="993" ht="15" customHeight="1" spans="1:6">
      <c r="A993" s="56" t="s">
        <v>1991</v>
      </c>
      <c r="B993" s="56" t="s">
        <v>3109</v>
      </c>
      <c r="C993" s="57" t="s">
        <v>802</v>
      </c>
      <c r="D993" s="56" t="s">
        <v>7</v>
      </c>
      <c r="E993" s="59" t="s">
        <v>1993</v>
      </c>
      <c r="F993" s="58"/>
    </row>
    <row r="994" ht="15" customHeight="1" spans="1:6">
      <c r="A994" s="56" t="s">
        <v>1991</v>
      </c>
      <c r="B994" s="56" t="s">
        <v>3110</v>
      </c>
      <c r="C994" s="57" t="s">
        <v>96</v>
      </c>
      <c r="D994" s="56" t="s">
        <v>7</v>
      </c>
      <c r="E994" s="59" t="s">
        <v>1993</v>
      </c>
      <c r="F994" s="58"/>
    </row>
    <row r="995" ht="15" customHeight="1" spans="1:6">
      <c r="A995" s="56" t="s">
        <v>1991</v>
      </c>
      <c r="B995" s="56" t="s">
        <v>3111</v>
      </c>
      <c r="C995" s="57" t="s">
        <v>2697</v>
      </c>
      <c r="D995" s="56" t="s">
        <v>7</v>
      </c>
      <c r="E995" s="59" t="s">
        <v>1993</v>
      </c>
      <c r="F995" s="58"/>
    </row>
    <row r="996" ht="15" customHeight="1" spans="1:6">
      <c r="A996" s="56" t="s">
        <v>1991</v>
      </c>
      <c r="B996" s="56" t="s">
        <v>3112</v>
      </c>
      <c r="C996" s="57" t="s">
        <v>95</v>
      </c>
      <c r="D996" s="56" t="s">
        <v>7</v>
      </c>
      <c r="E996" s="59" t="s">
        <v>1993</v>
      </c>
      <c r="F996" s="58"/>
    </row>
    <row r="997" ht="15" customHeight="1" spans="1:6">
      <c r="A997" s="56" t="s">
        <v>1991</v>
      </c>
      <c r="B997" s="56" t="s">
        <v>3113</v>
      </c>
      <c r="C997" s="57" t="s">
        <v>95</v>
      </c>
      <c r="D997" s="56" t="s">
        <v>7</v>
      </c>
      <c r="E997" s="59" t="s">
        <v>1993</v>
      </c>
      <c r="F997" s="58"/>
    </row>
    <row r="998" ht="15" customHeight="1" spans="1:6">
      <c r="A998" s="56" t="s">
        <v>1991</v>
      </c>
      <c r="B998" s="56" t="s">
        <v>3114</v>
      </c>
      <c r="C998" s="57" t="s">
        <v>1611</v>
      </c>
      <c r="D998" s="56" t="s">
        <v>7</v>
      </c>
      <c r="E998" s="59" t="s">
        <v>1993</v>
      </c>
      <c r="F998" s="58"/>
    </row>
    <row r="999" ht="15" customHeight="1" spans="1:6">
      <c r="A999" s="56" t="s">
        <v>1991</v>
      </c>
      <c r="B999" s="56" t="s">
        <v>3115</v>
      </c>
      <c r="C999" s="57" t="s">
        <v>177</v>
      </c>
      <c r="D999" s="56" t="s">
        <v>7</v>
      </c>
      <c r="E999" s="59" t="s">
        <v>1993</v>
      </c>
      <c r="F999" s="58"/>
    </row>
    <row r="1000" ht="15" customHeight="1" spans="1:6">
      <c r="A1000" s="56" t="s">
        <v>1991</v>
      </c>
      <c r="B1000" s="56" t="s">
        <v>3116</v>
      </c>
      <c r="C1000" s="57" t="s">
        <v>177</v>
      </c>
      <c r="D1000" s="56" t="s">
        <v>7</v>
      </c>
      <c r="E1000" s="59" t="s">
        <v>1993</v>
      </c>
      <c r="F1000" s="58"/>
    </row>
    <row r="1001" ht="15" customHeight="1" spans="1:6">
      <c r="A1001" s="56" t="s">
        <v>1991</v>
      </c>
      <c r="B1001" s="56" t="s">
        <v>3117</v>
      </c>
      <c r="C1001" s="57" t="s">
        <v>177</v>
      </c>
      <c r="D1001" s="56" t="s">
        <v>7</v>
      </c>
      <c r="E1001" s="59" t="s">
        <v>1993</v>
      </c>
      <c r="F1001" s="58"/>
    </row>
    <row r="1002" ht="15" customHeight="1" spans="1:6">
      <c r="A1002" s="56" t="s">
        <v>1991</v>
      </c>
      <c r="B1002" s="56" t="s">
        <v>3118</v>
      </c>
      <c r="C1002" s="57" t="s">
        <v>177</v>
      </c>
      <c r="D1002" s="56" t="s">
        <v>7</v>
      </c>
      <c r="E1002" s="59" t="s">
        <v>1993</v>
      </c>
      <c r="F1002" s="58"/>
    </row>
    <row r="1003" ht="15" customHeight="1" spans="1:6">
      <c r="A1003" s="56" t="s">
        <v>1991</v>
      </c>
      <c r="B1003" s="56" t="s">
        <v>3119</v>
      </c>
      <c r="C1003" s="57" t="s">
        <v>177</v>
      </c>
      <c r="D1003" s="56" t="s">
        <v>7</v>
      </c>
      <c r="E1003" s="59" t="s">
        <v>1993</v>
      </c>
      <c r="F1003" s="58"/>
    </row>
    <row r="1004" ht="15" customHeight="1" spans="1:6">
      <c r="A1004" s="56" t="s">
        <v>1991</v>
      </c>
      <c r="B1004" s="56" t="s">
        <v>3120</v>
      </c>
      <c r="C1004" s="57" t="s">
        <v>177</v>
      </c>
      <c r="D1004" s="56" t="s">
        <v>7</v>
      </c>
      <c r="E1004" s="59" t="s">
        <v>1993</v>
      </c>
      <c r="F1004" s="58"/>
    </row>
    <row r="1005" ht="15" customHeight="1" spans="1:6">
      <c r="A1005" s="56" t="s">
        <v>1991</v>
      </c>
      <c r="B1005" s="56" t="s">
        <v>3121</v>
      </c>
      <c r="C1005" s="57" t="s">
        <v>177</v>
      </c>
      <c r="D1005" s="56" t="s">
        <v>7</v>
      </c>
      <c r="E1005" s="59" t="s">
        <v>1993</v>
      </c>
      <c r="F1005" s="58"/>
    </row>
    <row r="1006" ht="15" customHeight="1" spans="1:6">
      <c r="A1006" s="56" t="s">
        <v>1991</v>
      </c>
      <c r="B1006" s="56" t="s">
        <v>3122</v>
      </c>
      <c r="C1006" s="57" t="s">
        <v>177</v>
      </c>
      <c r="D1006" s="56" t="s">
        <v>7</v>
      </c>
      <c r="E1006" s="59" t="s">
        <v>1993</v>
      </c>
      <c r="F1006" s="58"/>
    </row>
    <row r="1007" ht="15" customHeight="1" spans="1:6">
      <c r="A1007" s="56" t="s">
        <v>1991</v>
      </c>
      <c r="B1007" s="56" t="s">
        <v>3123</v>
      </c>
      <c r="C1007" s="57" t="s">
        <v>177</v>
      </c>
      <c r="D1007" s="56" t="s">
        <v>7</v>
      </c>
      <c r="E1007" s="59" t="s">
        <v>1993</v>
      </c>
      <c r="F1007" s="58"/>
    </row>
    <row r="1008" ht="15" customHeight="1" spans="1:6">
      <c r="A1008" s="56" t="s">
        <v>1991</v>
      </c>
      <c r="B1008" s="56" t="s">
        <v>3124</v>
      </c>
      <c r="C1008" s="57" t="s">
        <v>177</v>
      </c>
      <c r="D1008" s="56" t="s">
        <v>7</v>
      </c>
      <c r="E1008" s="59" t="s">
        <v>1993</v>
      </c>
      <c r="F1008" s="58"/>
    </row>
    <row r="1009" ht="15" customHeight="1" spans="1:6">
      <c r="A1009" s="56" t="s">
        <v>1991</v>
      </c>
      <c r="B1009" s="56" t="s">
        <v>3125</v>
      </c>
      <c r="C1009" s="57" t="s">
        <v>177</v>
      </c>
      <c r="D1009" s="56" t="s">
        <v>7</v>
      </c>
      <c r="E1009" s="59" t="s">
        <v>1993</v>
      </c>
      <c r="F1009" s="58"/>
    </row>
    <row r="1010" ht="15" customHeight="1" spans="1:6">
      <c r="A1010" s="56" t="s">
        <v>1991</v>
      </c>
      <c r="B1010" s="56" t="s">
        <v>3126</v>
      </c>
      <c r="C1010" s="57" t="s">
        <v>177</v>
      </c>
      <c r="D1010" s="56" t="s">
        <v>7</v>
      </c>
      <c r="E1010" s="59" t="s">
        <v>1993</v>
      </c>
      <c r="F1010" s="58"/>
    </row>
    <row r="1011" ht="15" customHeight="1" spans="1:6">
      <c r="A1011" s="56" t="s">
        <v>1991</v>
      </c>
      <c r="B1011" s="56" t="s">
        <v>3127</v>
      </c>
      <c r="C1011" s="57" t="s">
        <v>177</v>
      </c>
      <c r="D1011" s="56" t="s">
        <v>7</v>
      </c>
      <c r="E1011" s="59" t="s">
        <v>1993</v>
      </c>
      <c r="F1011" s="58"/>
    </row>
    <row r="1012" ht="15" customHeight="1" spans="1:6">
      <c r="A1012" s="56" t="s">
        <v>1991</v>
      </c>
      <c r="B1012" s="56" t="s">
        <v>3128</v>
      </c>
      <c r="C1012" s="57" t="s">
        <v>177</v>
      </c>
      <c r="D1012" s="56" t="s">
        <v>7</v>
      </c>
      <c r="E1012" s="59" t="s">
        <v>1993</v>
      </c>
      <c r="F1012" s="58"/>
    </row>
    <row r="1013" ht="15" customHeight="1" spans="1:6">
      <c r="A1013" s="56" t="s">
        <v>1991</v>
      </c>
      <c r="B1013" s="56" t="s">
        <v>3129</v>
      </c>
      <c r="C1013" s="57" t="s">
        <v>177</v>
      </c>
      <c r="D1013" s="56" t="s">
        <v>7</v>
      </c>
      <c r="E1013" s="59" t="s">
        <v>1993</v>
      </c>
      <c r="F1013" s="58"/>
    </row>
    <row r="1014" ht="15" customHeight="1" spans="1:6">
      <c r="A1014" s="56" t="s">
        <v>1991</v>
      </c>
      <c r="B1014" s="56" t="s">
        <v>3130</v>
      </c>
      <c r="C1014" s="57" t="s">
        <v>177</v>
      </c>
      <c r="D1014" s="56" t="s">
        <v>7</v>
      </c>
      <c r="E1014" s="59" t="s">
        <v>1993</v>
      </c>
      <c r="F1014" s="58"/>
    </row>
    <row r="1015" ht="15" customHeight="1" spans="1:6">
      <c r="A1015" s="56" t="s">
        <v>1991</v>
      </c>
      <c r="B1015" s="56" t="s">
        <v>3131</v>
      </c>
      <c r="C1015" s="57" t="s">
        <v>96</v>
      </c>
      <c r="D1015" s="56" t="s">
        <v>7</v>
      </c>
      <c r="E1015" s="59" t="s">
        <v>1993</v>
      </c>
      <c r="F1015" s="58"/>
    </row>
    <row r="1016" ht="15" customHeight="1" spans="1:6">
      <c r="A1016" s="56" t="s">
        <v>1991</v>
      </c>
      <c r="B1016" s="56" t="s">
        <v>3132</v>
      </c>
      <c r="C1016" s="57" t="s">
        <v>3133</v>
      </c>
      <c r="D1016" s="56" t="s">
        <v>7</v>
      </c>
      <c r="E1016" s="59" t="s">
        <v>1993</v>
      </c>
      <c r="F1016" s="58"/>
    </row>
    <row r="1017" ht="15" customHeight="1" spans="1:6">
      <c r="A1017" s="56" t="s">
        <v>1991</v>
      </c>
      <c r="B1017" s="56" t="s">
        <v>3134</v>
      </c>
      <c r="C1017" s="57" t="s">
        <v>3135</v>
      </c>
      <c r="D1017" s="56" t="s">
        <v>7</v>
      </c>
      <c r="E1017" s="59" t="s">
        <v>1993</v>
      </c>
      <c r="F1017" s="58"/>
    </row>
    <row r="1018" ht="15" customHeight="1" spans="1:6">
      <c r="A1018" s="56" t="s">
        <v>1991</v>
      </c>
      <c r="B1018" s="56" t="s">
        <v>3136</v>
      </c>
      <c r="C1018" s="57" t="s">
        <v>95</v>
      </c>
      <c r="D1018" s="56" t="s">
        <v>7</v>
      </c>
      <c r="E1018" s="59" t="s">
        <v>1993</v>
      </c>
      <c r="F1018" s="58"/>
    </row>
    <row r="1019" ht="15" customHeight="1" spans="1:6">
      <c r="A1019" s="56" t="s">
        <v>1991</v>
      </c>
      <c r="B1019" s="56" t="s">
        <v>3137</v>
      </c>
      <c r="C1019" s="57" t="s">
        <v>177</v>
      </c>
      <c r="D1019" s="56" t="s">
        <v>7</v>
      </c>
      <c r="E1019" s="59" t="s">
        <v>1993</v>
      </c>
      <c r="F1019" s="58"/>
    </row>
    <row r="1020" ht="15" customHeight="1" spans="1:6">
      <c r="A1020" s="56" t="s">
        <v>1991</v>
      </c>
      <c r="B1020" s="56" t="s">
        <v>3138</v>
      </c>
      <c r="C1020" s="57" t="s">
        <v>177</v>
      </c>
      <c r="D1020" s="56" t="s">
        <v>7</v>
      </c>
      <c r="E1020" s="59" t="s">
        <v>1993</v>
      </c>
      <c r="F1020" s="58"/>
    </row>
    <row r="1021" ht="15" customHeight="1" spans="1:6">
      <c r="A1021" s="56" t="s">
        <v>1991</v>
      </c>
      <c r="B1021" s="56" t="s">
        <v>3139</v>
      </c>
      <c r="C1021" s="57" t="s">
        <v>177</v>
      </c>
      <c r="D1021" s="56" t="s">
        <v>7</v>
      </c>
      <c r="E1021" s="59" t="s">
        <v>1993</v>
      </c>
      <c r="F1021" s="58"/>
    </row>
    <row r="1022" ht="15" customHeight="1" spans="1:6">
      <c r="A1022" s="56" t="s">
        <v>1991</v>
      </c>
      <c r="B1022" s="56" t="s">
        <v>3140</v>
      </c>
      <c r="C1022" s="57" t="s">
        <v>177</v>
      </c>
      <c r="D1022" s="56" t="s">
        <v>7</v>
      </c>
      <c r="E1022" s="59" t="s">
        <v>1993</v>
      </c>
      <c r="F1022" s="58"/>
    </row>
    <row r="1023" ht="15" customHeight="1" spans="1:6">
      <c r="A1023" s="56" t="s">
        <v>1991</v>
      </c>
      <c r="B1023" s="56" t="s">
        <v>3141</v>
      </c>
      <c r="C1023" s="57" t="s">
        <v>177</v>
      </c>
      <c r="D1023" s="56" t="s">
        <v>7</v>
      </c>
      <c r="E1023" s="59" t="s">
        <v>1993</v>
      </c>
      <c r="F1023" s="58"/>
    </row>
    <row r="1024" ht="15" customHeight="1" spans="1:6">
      <c r="A1024" s="56" t="s">
        <v>1991</v>
      </c>
      <c r="B1024" s="56" t="s">
        <v>3142</v>
      </c>
      <c r="C1024" s="57" t="s">
        <v>177</v>
      </c>
      <c r="D1024" s="56" t="s">
        <v>7</v>
      </c>
      <c r="E1024" s="59" t="s">
        <v>1993</v>
      </c>
      <c r="F1024" s="58"/>
    </row>
    <row r="1025" ht="15" customHeight="1" spans="1:6">
      <c r="A1025" s="56" t="s">
        <v>1991</v>
      </c>
      <c r="B1025" s="56" t="s">
        <v>3143</v>
      </c>
      <c r="C1025" s="57" t="s">
        <v>177</v>
      </c>
      <c r="D1025" s="56" t="s">
        <v>7</v>
      </c>
      <c r="E1025" s="59" t="s">
        <v>1993</v>
      </c>
      <c r="F1025" s="58"/>
    </row>
    <row r="1026" ht="15" customHeight="1" spans="1:6">
      <c r="A1026" s="56" t="s">
        <v>1991</v>
      </c>
      <c r="B1026" s="56" t="s">
        <v>3144</v>
      </c>
      <c r="C1026" s="57" t="s">
        <v>177</v>
      </c>
      <c r="D1026" s="56" t="s">
        <v>7</v>
      </c>
      <c r="E1026" s="59" t="s">
        <v>1993</v>
      </c>
      <c r="F1026" s="58"/>
    </row>
    <row r="1027" ht="15" customHeight="1" spans="1:6">
      <c r="A1027" s="56" t="s">
        <v>1991</v>
      </c>
      <c r="B1027" s="56" t="s">
        <v>3145</v>
      </c>
      <c r="C1027" s="57" t="s">
        <v>177</v>
      </c>
      <c r="D1027" s="56" t="s">
        <v>7</v>
      </c>
      <c r="E1027" s="59" t="s">
        <v>1993</v>
      </c>
      <c r="F1027" s="58"/>
    </row>
    <row r="1028" ht="15" customHeight="1" spans="1:6">
      <c r="A1028" s="56" t="s">
        <v>1991</v>
      </c>
      <c r="B1028" s="56" t="s">
        <v>3146</v>
      </c>
      <c r="C1028" s="57" t="s">
        <v>177</v>
      </c>
      <c r="D1028" s="56" t="s">
        <v>7</v>
      </c>
      <c r="E1028" s="59" t="s">
        <v>1993</v>
      </c>
      <c r="F1028" s="58"/>
    </row>
    <row r="1029" ht="15" customHeight="1" spans="1:6">
      <c r="A1029" s="56" t="s">
        <v>1991</v>
      </c>
      <c r="B1029" s="56" t="s">
        <v>3147</v>
      </c>
      <c r="C1029" s="57" t="s">
        <v>177</v>
      </c>
      <c r="D1029" s="56" t="s">
        <v>7</v>
      </c>
      <c r="E1029" s="59" t="s">
        <v>1993</v>
      </c>
      <c r="F1029" s="58"/>
    </row>
    <row r="1030" ht="15" customHeight="1" spans="1:6">
      <c r="A1030" s="56" t="s">
        <v>1991</v>
      </c>
      <c r="B1030" s="56" t="s">
        <v>3148</v>
      </c>
      <c r="C1030" s="57" t="s">
        <v>177</v>
      </c>
      <c r="D1030" s="56" t="s">
        <v>7</v>
      </c>
      <c r="E1030" s="59" t="s">
        <v>1993</v>
      </c>
      <c r="F1030" s="58"/>
    </row>
    <row r="1031" ht="15" customHeight="1" spans="1:6">
      <c r="A1031" s="56" t="s">
        <v>1991</v>
      </c>
      <c r="B1031" s="56" t="s">
        <v>3149</v>
      </c>
      <c r="C1031" s="57" t="s">
        <v>177</v>
      </c>
      <c r="D1031" s="56" t="s">
        <v>7</v>
      </c>
      <c r="E1031" s="59" t="s">
        <v>1993</v>
      </c>
      <c r="F1031" s="58"/>
    </row>
    <row r="1032" ht="15" customHeight="1" spans="1:6">
      <c r="A1032" s="56" t="s">
        <v>1991</v>
      </c>
      <c r="B1032" s="56" t="s">
        <v>3150</v>
      </c>
      <c r="C1032" s="57" t="s">
        <v>177</v>
      </c>
      <c r="D1032" s="56" t="s">
        <v>7</v>
      </c>
      <c r="E1032" s="59" t="s">
        <v>1993</v>
      </c>
      <c r="F1032" s="58"/>
    </row>
    <row r="1033" ht="15" customHeight="1" spans="1:6">
      <c r="A1033" s="56" t="s">
        <v>1991</v>
      </c>
      <c r="B1033" s="56" t="s">
        <v>3151</v>
      </c>
      <c r="C1033" s="57" t="s">
        <v>96</v>
      </c>
      <c r="D1033" s="56" t="s">
        <v>7</v>
      </c>
      <c r="E1033" s="59" t="s">
        <v>1993</v>
      </c>
      <c r="F1033" s="58"/>
    </row>
    <row r="1034" ht="15" customHeight="1" spans="1:6">
      <c r="A1034" s="56" t="s">
        <v>1991</v>
      </c>
      <c r="B1034" s="56" t="s">
        <v>3152</v>
      </c>
      <c r="C1034" s="57" t="s">
        <v>95</v>
      </c>
      <c r="D1034" s="56" t="s">
        <v>7</v>
      </c>
      <c r="E1034" s="59" t="s">
        <v>1993</v>
      </c>
      <c r="F1034" s="58"/>
    </row>
    <row r="1035" ht="15" customHeight="1" spans="1:6">
      <c r="A1035" s="56" t="s">
        <v>1991</v>
      </c>
      <c r="B1035" s="56" t="s">
        <v>3153</v>
      </c>
      <c r="C1035" s="57" t="s">
        <v>3154</v>
      </c>
      <c r="D1035" s="56" t="s">
        <v>7</v>
      </c>
      <c r="E1035" s="59" t="s">
        <v>1993</v>
      </c>
      <c r="F1035" s="58"/>
    </row>
    <row r="1036" ht="15" customHeight="1" spans="1:6">
      <c r="A1036" s="56" t="s">
        <v>1991</v>
      </c>
      <c r="B1036" s="56" t="s">
        <v>3155</v>
      </c>
      <c r="C1036" s="57" t="s">
        <v>3156</v>
      </c>
      <c r="D1036" s="56" t="s">
        <v>7</v>
      </c>
      <c r="E1036" s="59" t="s">
        <v>1993</v>
      </c>
      <c r="F1036" s="58"/>
    </row>
    <row r="1037" ht="15" customHeight="1" spans="1:6">
      <c r="A1037" s="56" t="s">
        <v>1991</v>
      </c>
      <c r="B1037" s="56" t="s">
        <v>3157</v>
      </c>
      <c r="C1037" s="57" t="s">
        <v>3135</v>
      </c>
      <c r="D1037" s="56" t="s">
        <v>7</v>
      </c>
      <c r="E1037" s="59" t="s">
        <v>1993</v>
      </c>
      <c r="F1037" s="58"/>
    </row>
    <row r="1038" ht="15" customHeight="1" spans="1:6">
      <c r="A1038" s="56" t="s">
        <v>1991</v>
      </c>
      <c r="B1038" s="56" t="s">
        <v>3158</v>
      </c>
      <c r="C1038" s="57" t="s">
        <v>177</v>
      </c>
      <c r="D1038" s="56" t="s">
        <v>7</v>
      </c>
      <c r="E1038" s="59" t="s">
        <v>1993</v>
      </c>
      <c r="F1038" s="58"/>
    </row>
    <row r="1039" ht="15" customHeight="1" spans="1:6">
      <c r="A1039" s="56" t="s">
        <v>1991</v>
      </c>
      <c r="B1039" s="56" t="s">
        <v>3159</v>
      </c>
      <c r="C1039" s="57" t="s">
        <v>177</v>
      </c>
      <c r="D1039" s="56" t="s">
        <v>7</v>
      </c>
      <c r="E1039" s="59" t="s">
        <v>1993</v>
      </c>
      <c r="F1039" s="58"/>
    </row>
    <row r="1040" ht="15" customHeight="1" spans="1:6">
      <c r="A1040" s="56" t="s">
        <v>1991</v>
      </c>
      <c r="B1040" s="56" t="s">
        <v>3160</v>
      </c>
      <c r="C1040" s="57" t="s">
        <v>177</v>
      </c>
      <c r="D1040" s="56" t="s">
        <v>7</v>
      </c>
      <c r="E1040" s="59" t="s">
        <v>1993</v>
      </c>
      <c r="F1040" s="58"/>
    </row>
    <row r="1041" ht="15" customHeight="1" spans="1:6">
      <c r="A1041" s="56" t="s">
        <v>1991</v>
      </c>
      <c r="B1041" s="56" t="s">
        <v>3161</v>
      </c>
      <c r="C1041" s="57" t="s">
        <v>177</v>
      </c>
      <c r="D1041" s="56" t="s">
        <v>7</v>
      </c>
      <c r="E1041" s="59" t="s">
        <v>1993</v>
      </c>
      <c r="F1041" s="58"/>
    </row>
    <row r="1042" ht="15" customHeight="1" spans="1:6">
      <c r="A1042" s="56" t="s">
        <v>1991</v>
      </c>
      <c r="B1042" s="56" t="s">
        <v>3162</v>
      </c>
      <c r="C1042" s="57" t="s">
        <v>177</v>
      </c>
      <c r="D1042" s="56" t="s">
        <v>7</v>
      </c>
      <c r="E1042" s="59" t="s">
        <v>1993</v>
      </c>
      <c r="F1042" s="58"/>
    </row>
    <row r="1043" ht="15" customHeight="1" spans="1:6">
      <c r="A1043" s="56" t="s">
        <v>1991</v>
      </c>
      <c r="B1043" s="56" t="s">
        <v>3163</v>
      </c>
      <c r="C1043" s="57" t="s">
        <v>177</v>
      </c>
      <c r="D1043" s="56" t="s">
        <v>7</v>
      </c>
      <c r="E1043" s="59" t="s">
        <v>1993</v>
      </c>
      <c r="F1043" s="58"/>
    </row>
    <row r="1044" ht="15" customHeight="1" spans="1:6">
      <c r="A1044" s="56" t="s">
        <v>1991</v>
      </c>
      <c r="B1044" s="56" t="s">
        <v>3164</v>
      </c>
      <c r="C1044" s="57" t="s">
        <v>177</v>
      </c>
      <c r="D1044" s="56" t="s">
        <v>7</v>
      </c>
      <c r="E1044" s="59" t="s">
        <v>1993</v>
      </c>
      <c r="F1044" s="58"/>
    </row>
    <row r="1045" ht="15" customHeight="1" spans="1:6">
      <c r="A1045" s="56" t="s">
        <v>1991</v>
      </c>
      <c r="B1045" s="56" t="s">
        <v>3165</v>
      </c>
      <c r="C1045" s="57" t="s">
        <v>177</v>
      </c>
      <c r="D1045" s="56" t="s">
        <v>7</v>
      </c>
      <c r="E1045" s="59" t="s">
        <v>1993</v>
      </c>
      <c r="F1045" s="58"/>
    </row>
    <row r="1046" ht="15" customHeight="1" spans="1:6">
      <c r="A1046" s="56" t="s">
        <v>1991</v>
      </c>
      <c r="B1046" s="56" t="s">
        <v>3166</v>
      </c>
      <c r="C1046" s="57" t="s">
        <v>177</v>
      </c>
      <c r="D1046" s="56" t="s">
        <v>7</v>
      </c>
      <c r="E1046" s="59" t="s">
        <v>1993</v>
      </c>
      <c r="F1046" s="58"/>
    </row>
    <row r="1047" ht="15" customHeight="1" spans="1:6">
      <c r="A1047" s="56" t="s">
        <v>1991</v>
      </c>
      <c r="B1047" s="56" t="s">
        <v>3167</v>
      </c>
      <c r="C1047" s="57" t="s">
        <v>177</v>
      </c>
      <c r="D1047" s="56" t="s">
        <v>7</v>
      </c>
      <c r="E1047" s="59" t="s">
        <v>1993</v>
      </c>
      <c r="F1047" s="58"/>
    </row>
    <row r="1048" ht="15" customHeight="1" spans="1:6">
      <c r="A1048" s="56" t="s">
        <v>1991</v>
      </c>
      <c r="B1048" s="56" t="s">
        <v>3168</v>
      </c>
      <c r="C1048" s="57" t="s">
        <v>177</v>
      </c>
      <c r="D1048" s="56" t="s">
        <v>7</v>
      </c>
      <c r="E1048" s="59" t="s">
        <v>1993</v>
      </c>
      <c r="F1048" s="58"/>
    </row>
    <row r="1049" ht="15" customHeight="1" spans="1:6">
      <c r="A1049" s="56" t="s">
        <v>1991</v>
      </c>
      <c r="B1049" s="56" t="s">
        <v>3169</v>
      </c>
      <c r="C1049" s="57" t="s">
        <v>177</v>
      </c>
      <c r="D1049" s="56" t="s">
        <v>7</v>
      </c>
      <c r="E1049" s="59" t="s">
        <v>1993</v>
      </c>
      <c r="F1049" s="58"/>
    </row>
    <row r="1050" ht="15" customHeight="1" spans="1:6">
      <c r="A1050" s="56" t="s">
        <v>1991</v>
      </c>
      <c r="B1050" s="56" t="s">
        <v>3170</v>
      </c>
      <c r="C1050" s="57" t="s">
        <v>177</v>
      </c>
      <c r="D1050" s="56" t="s">
        <v>7</v>
      </c>
      <c r="E1050" s="59" t="s">
        <v>1993</v>
      </c>
      <c r="F1050" s="58"/>
    </row>
    <row r="1051" ht="15" customHeight="1" spans="1:6">
      <c r="A1051" s="56" t="s">
        <v>1991</v>
      </c>
      <c r="B1051" s="56" t="s">
        <v>3171</v>
      </c>
      <c r="C1051" s="57" t="s">
        <v>96</v>
      </c>
      <c r="D1051" s="56" t="s">
        <v>7</v>
      </c>
      <c r="E1051" s="59" t="s">
        <v>1993</v>
      </c>
      <c r="F1051" s="58"/>
    </row>
    <row r="1052" ht="15" customHeight="1" spans="1:6">
      <c r="A1052" s="56" t="s">
        <v>1991</v>
      </c>
      <c r="B1052" s="56" t="s">
        <v>3172</v>
      </c>
      <c r="C1052" s="57" t="s">
        <v>95</v>
      </c>
      <c r="D1052" s="56" t="s">
        <v>7</v>
      </c>
      <c r="E1052" s="59" t="s">
        <v>1993</v>
      </c>
      <c r="F1052" s="58"/>
    </row>
    <row r="1053" ht="15" customHeight="1" spans="1:6">
      <c r="A1053" s="56" t="s">
        <v>1991</v>
      </c>
      <c r="B1053" s="56" t="s">
        <v>3173</v>
      </c>
      <c r="C1053" s="57" t="s">
        <v>3154</v>
      </c>
      <c r="D1053" s="56" t="s">
        <v>7</v>
      </c>
      <c r="E1053" s="59" t="s">
        <v>1993</v>
      </c>
      <c r="F1053" s="58"/>
    </row>
    <row r="1054" ht="15" customHeight="1" spans="1:6">
      <c r="A1054" s="56" t="s">
        <v>1991</v>
      </c>
      <c r="B1054" s="56" t="s">
        <v>3174</v>
      </c>
      <c r="C1054" s="57" t="s">
        <v>3156</v>
      </c>
      <c r="D1054" s="56" t="s">
        <v>7</v>
      </c>
      <c r="E1054" s="59" t="s">
        <v>1993</v>
      </c>
      <c r="F1054" s="58"/>
    </row>
    <row r="1055" ht="15" customHeight="1" spans="1:6">
      <c r="A1055" s="56" t="s">
        <v>1991</v>
      </c>
      <c r="B1055" s="56" t="s">
        <v>3175</v>
      </c>
      <c r="C1055" s="57" t="s">
        <v>177</v>
      </c>
      <c r="D1055" s="56" t="s">
        <v>7</v>
      </c>
      <c r="E1055" s="59" t="s">
        <v>1993</v>
      </c>
      <c r="F1055" s="58"/>
    </row>
    <row r="1056" ht="15" customHeight="1" spans="1:6">
      <c r="A1056" s="56" t="s">
        <v>1991</v>
      </c>
      <c r="B1056" s="56" t="s">
        <v>3176</v>
      </c>
      <c r="C1056" s="57" t="s">
        <v>177</v>
      </c>
      <c r="D1056" s="56" t="s">
        <v>7</v>
      </c>
      <c r="E1056" s="59" t="s">
        <v>1993</v>
      </c>
      <c r="F1056" s="58"/>
    </row>
    <row r="1057" ht="15" customHeight="1" spans="1:6">
      <c r="A1057" s="56" t="s">
        <v>1991</v>
      </c>
      <c r="B1057" s="56" t="s">
        <v>3177</v>
      </c>
      <c r="C1057" s="57" t="s">
        <v>177</v>
      </c>
      <c r="D1057" s="56" t="s">
        <v>7</v>
      </c>
      <c r="E1057" s="59" t="s">
        <v>1993</v>
      </c>
      <c r="F1057" s="58"/>
    </row>
    <row r="1058" ht="15" customHeight="1" spans="1:6">
      <c r="A1058" s="56" t="s">
        <v>1991</v>
      </c>
      <c r="B1058" s="56" t="s">
        <v>3178</v>
      </c>
      <c r="C1058" s="57" t="s">
        <v>177</v>
      </c>
      <c r="D1058" s="56" t="s">
        <v>7</v>
      </c>
      <c r="E1058" s="59" t="s">
        <v>1993</v>
      </c>
      <c r="F1058" s="58"/>
    </row>
    <row r="1059" ht="15" customHeight="1" spans="1:6">
      <c r="A1059" s="56" t="s">
        <v>1991</v>
      </c>
      <c r="B1059" s="56" t="s">
        <v>3179</v>
      </c>
      <c r="C1059" s="57" t="s">
        <v>177</v>
      </c>
      <c r="D1059" s="56" t="s">
        <v>7</v>
      </c>
      <c r="E1059" s="59" t="s">
        <v>1993</v>
      </c>
      <c r="F1059" s="58"/>
    </row>
    <row r="1060" ht="15" customHeight="1" spans="1:6">
      <c r="A1060" s="56" t="s">
        <v>1991</v>
      </c>
      <c r="B1060" s="56" t="s">
        <v>3180</v>
      </c>
      <c r="C1060" s="57" t="s">
        <v>177</v>
      </c>
      <c r="D1060" s="56" t="s">
        <v>7</v>
      </c>
      <c r="E1060" s="59" t="s">
        <v>1993</v>
      </c>
      <c r="F1060" s="58"/>
    </row>
    <row r="1061" ht="15" customHeight="1" spans="1:6">
      <c r="A1061" s="56" t="s">
        <v>1991</v>
      </c>
      <c r="B1061" s="56" t="s">
        <v>3181</v>
      </c>
      <c r="C1061" s="57" t="s">
        <v>177</v>
      </c>
      <c r="D1061" s="56" t="s">
        <v>7</v>
      </c>
      <c r="E1061" s="59" t="s">
        <v>1993</v>
      </c>
      <c r="F1061" s="58"/>
    </row>
    <row r="1062" ht="15" customHeight="1" spans="1:6">
      <c r="A1062" s="56" t="s">
        <v>1991</v>
      </c>
      <c r="B1062" s="56" t="s">
        <v>3182</v>
      </c>
      <c r="C1062" s="57" t="s">
        <v>177</v>
      </c>
      <c r="D1062" s="56" t="s">
        <v>7</v>
      </c>
      <c r="E1062" s="59" t="s">
        <v>1993</v>
      </c>
      <c r="F1062" s="58"/>
    </row>
    <row r="1063" ht="15" customHeight="1" spans="1:6">
      <c r="A1063" s="56" t="s">
        <v>1991</v>
      </c>
      <c r="B1063" s="56" t="s">
        <v>3183</v>
      </c>
      <c r="C1063" s="57" t="s">
        <v>177</v>
      </c>
      <c r="D1063" s="56" t="s">
        <v>7</v>
      </c>
      <c r="E1063" s="59" t="s">
        <v>1993</v>
      </c>
      <c r="F1063" s="58"/>
    </row>
    <row r="1064" ht="15" customHeight="1" spans="1:6">
      <c r="A1064" s="56" t="s">
        <v>1991</v>
      </c>
      <c r="B1064" s="56" t="s">
        <v>3184</v>
      </c>
      <c r="C1064" s="57" t="s">
        <v>177</v>
      </c>
      <c r="D1064" s="56" t="s">
        <v>7</v>
      </c>
      <c r="E1064" s="59" t="s">
        <v>1993</v>
      </c>
      <c r="F1064" s="58"/>
    </row>
    <row r="1065" ht="15" customHeight="1" spans="1:6">
      <c r="A1065" s="56" t="s">
        <v>1991</v>
      </c>
      <c r="B1065" s="56" t="s">
        <v>3185</v>
      </c>
      <c r="C1065" s="57" t="s">
        <v>177</v>
      </c>
      <c r="D1065" s="56" t="s">
        <v>7</v>
      </c>
      <c r="E1065" s="59" t="s">
        <v>1993</v>
      </c>
      <c r="F1065" s="58"/>
    </row>
    <row r="1066" ht="15" customHeight="1" spans="1:6">
      <c r="A1066" s="56" t="s">
        <v>1991</v>
      </c>
      <c r="B1066" s="56" t="s">
        <v>3186</v>
      </c>
      <c r="C1066" s="57" t="s">
        <v>177</v>
      </c>
      <c r="D1066" s="56" t="s">
        <v>7</v>
      </c>
      <c r="E1066" s="59" t="s">
        <v>1993</v>
      </c>
      <c r="F1066" s="58"/>
    </row>
    <row r="1067" ht="15" customHeight="1" spans="1:6">
      <c r="A1067" s="56" t="s">
        <v>1991</v>
      </c>
      <c r="B1067" s="56" t="s">
        <v>3187</v>
      </c>
      <c r="C1067" s="57" t="s">
        <v>177</v>
      </c>
      <c r="D1067" s="56" t="s">
        <v>7</v>
      </c>
      <c r="E1067" s="59" t="s">
        <v>1993</v>
      </c>
      <c r="F1067" s="58"/>
    </row>
    <row r="1068" ht="15" customHeight="1" spans="1:6">
      <c r="A1068" s="56" t="s">
        <v>1991</v>
      </c>
      <c r="B1068" s="56" t="s">
        <v>3188</v>
      </c>
      <c r="C1068" s="57" t="s">
        <v>177</v>
      </c>
      <c r="D1068" s="56" t="s">
        <v>7</v>
      </c>
      <c r="E1068" s="59" t="s">
        <v>1993</v>
      </c>
      <c r="F1068" s="58"/>
    </row>
    <row r="1069" ht="15" customHeight="1" spans="1:6">
      <c r="A1069" s="56" t="s">
        <v>1991</v>
      </c>
      <c r="B1069" s="56" t="s">
        <v>3189</v>
      </c>
      <c r="C1069" s="57" t="s">
        <v>177</v>
      </c>
      <c r="D1069" s="56" t="s">
        <v>7</v>
      </c>
      <c r="E1069" s="59" t="s">
        <v>1993</v>
      </c>
      <c r="F1069" s="58"/>
    </row>
    <row r="1070" ht="15" customHeight="1" spans="1:6">
      <c r="A1070" s="56" t="s">
        <v>1991</v>
      </c>
      <c r="B1070" s="56" t="s">
        <v>3190</v>
      </c>
      <c r="C1070" s="57" t="s">
        <v>177</v>
      </c>
      <c r="D1070" s="56" t="s">
        <v>7</v>
      </c>
      <c r="E1070" s="59" t="s">
        <v>1993</v>
      </c>
      <c r="F1070" s="58"/>
    </row>
    <row r="1071" ht="15" customHeight="1" spans="1:6">
      <c r="A1071" s="56" t="s">
        <v>1991</v>
      </c>
      <c r="B1071" s="56" t="s">
        <v>3191</v>
      </c>
      <c r="C1071" s="57" t="s">
        <v>177</v>
      </c>
      <c r="D1071" s="56" t="s">
        <v>7</v>
      </c>
      <c r="E1071" s="59" t="s">
        <v>1993</v>
      </c>
      <c r="F1071" s="58"/>
    </row>
    <row r="1072" ht="15" customHeight="1" spans="1:6">
      <c r="A1072" s="56" t="s">
        <v>1991</v>
      </c>
      <c r="B1072" s="56" t="s">
        <v>3192</v>
      </c>
      <c r="C1072" s="57" t="s">
        <v>177</v>
      </c>
      <c r="D1072" s="56" t="s">
        <v>7</v>
      </c>
      <c r="E1072" s="59" t="s">
        <v>1993</v>
      </c>
      <c r="F1072" s="58"/>
    </row>
    <row r="1073" ht="15" customHeight="1" spans="1:6">
      <c r="A1073" s="56" t="s">
        <v>1991</v>
      </c>
      <c r="B1073" s="56" t="s">
        <v>3193</v>
      </c>
      <c r="C1073" s="57" t="s">
        <v>177</v>
      </c>
      <c r="D1073" s="56" t="s">
        <v>7</v>
      </c>
      <c r="E1073" s="59" t="s">
        <v>1993</v>
      </c>
      <c r="F1073" s="58"/>
    </row>
    <row r="1074" ht="15" customHeight="1" spans="1:6">
      <c r="A1074" s="56" t="s">
        <v>1991</v>
      </c>
      <c r="B1074" s="56" t="s">
        <v>3194</v>
      </c>
      <c r="C1074" s="57" t="s">
        <v>177</v>
      </c>
      <c r="D1074" s="56" t="s">
        <v>7</v>
      </c>
      <c r="E1074" s="59" t="s">
        <v>1993</v>
      </c>
      <c r="F1074" s="58"/>
    </row>
    <row r="1075" ht="15" customHeight="1" spans="1:6">
      <c r="A1075" s="56" t="s">
        <v>1991</v>
      </c>
      <c r="B1075" s="56" t="s">
        <v>3195</v>
      </c>
      <c r="C1075" s="57" t="s">
        <v>177</v>
      </c>
      <c r="D1075" s="56" t="s">
        <v>7</v>
      </c>
      <c r="E1075" s="59" t="s">
        <v>1993</v>
      </c>
      <c r="F1075" s="58"/>
    </row>
    <row r="1076" ht="15" customHeight="1" spans="1:6">
      <c r="A1076" s="56" t="s">
        <v>1991</v>
      </c>
      <c r="B1076" s="56" t="s">
        <v>3196</v>
      </c>
      <c r="C1076" s="57" t="s">
        <v>177</v>
      </c>
      <c r="D1076" s="56" t="s">
        <v>7</v>
      </c>
      <c r="E1076" s="59" t="s">
        <v>1993</v>
      </c>
      <c r="F1076" s="58"/>
    </row>
    <row r="1077" ht="15" customHeight="1" spans="1:6">
      <c r="A1077" s="56" t="s">
        <v>1991</v>
      </c>
      <c r="B1077" s="56" t="s">
        <v>3197</v>
      </c>
      <c r="C1077" s="57" t="s">
        <v>177</v>
      </c>
      <c r="D1077" s="56" t="s">
        <v>7</v>
      </c>
      <c r="E1077" s="59" t="s">
        <v>1993</v>
      </c>
      <c r="F1077" s="58"/>
    </row>
    <row r="1078" ht="15" customHeight="1" spans="1:6">
      <c r="A1078" s="56" t="s">
        <v>1991</v>
      </c>
      <c r="B1078" s="56" t="s">
        <v>3198</v>
      </c>
      <c r="C1078" s="57" t="s">
        <v>177</v>
      </c>
      <c r="D1078" s="56" t="s">
        <v>7</v>
      </c>
      <c r="E1078" s="59" t="s">
        <v>1993</v>
      </c>
      <c r="F1078" s="58"/>
    </row>
    <row r="1079" ht="15" customHeight="1" spans="1:6">
      <c r="A1079" s="56" t="s">
        <v>1991</v>
      </c>
      <c r="B1079" s="56" t="s">
        <v>3199</v>
      </c>
      <c r="C1079" s="57" t="s">
        <v>177</v>
      </c>
      <c r="D1079" s="56" t="s">
        <v>7</v>
      </c>
      <c r="E1079" s="59" t="s">
        <v>1993</v>
      </c>
      <c r="F1079" s="58"/>
    </row>
    <row r="1080" ht="15" customHeight="1" spans="1:6">
      <c r="A1080" s="56" t="s">
        <v>1991</v>
      </c>
      <c r="B1080" s="56" t="s">
        <v>3200</v>
      </c>
      <c r="C1080" s="57" t="s">
        <v>362</v>
      </c>
      <c r="D1080" s="56" t="s">
        <v>7</v>
      </c>
      <c r="E1080" s="59" t="s">
        <v>1993</v>
      </c>
      <c r="F1080" s="58"/>
    </row>
    <row r="1081" ht="15" customHeight="1" spans="1:6">
      <c r="A1081" s="56" t="s">
        <v>1991</v>
      </c>
      <c r="B1081" s="56" t="s">
        <v>3201</v>
      </c>
      <c r="C1081" s="57" t="s">
        <v>49</v>
      </c>
      <c r="D1081" s="56" t="s">
        <v>7</v>
      </c>
      <c r="E1081" s="59" t="s">
        <v>1993</v>
      </c>
      <c r="F1081" s="58"/>
    </row>
    <row r="1082" ht="15" customHeight="1" spans="1:6">
      <c r="A1082" s="56" t="s">
        <v>1991</v>
      </c>
      <c r="B1082" s="56" t="s">
        <v>3202</v>
      </c>
      <c r="C1082" s="57" t="s">
        <v>96</v>
      </c>
      <c r="D1082" s="56" t="s">
        <v>7</v>
      </c>
      <c r="E1082" s="59" t="s">
        <v>1993</v>
      </c>
      <c r="F1082" s="58"/>
    </row>
    <row r="1083" ht="15" customHeight="1" spans="1:6">
      <c r="A1083" s="56" t="s">
        <v>1991</v>
      </c>
      <c r="B1083" s="56" t="s">
        <v>3203</v>
      </c>
      <c r="C1083" s="57" t="s">
        <v>2697</v>
      </c>
      <c r="D1083" s="56" t="s">
        <v>7</v>
      </c>
      <c r="E1083" s="59" t="s">
        <v>1993</v>
      </c>
      <c r="F1083" s="58"/>
    </row>
    <row r="1084" ht="15" customHeight="1" spans="1:6">
      <c r="A1084" s="56" t="s">
        <v>1991</v>
      </c>
      <c r="B1084" s="56" t="s">
        <v>3204</v>
      </c>
      <c r="C1084" s="57" t="s">
        <v>95</v>
      </c>
      <c r="D1084" s="56" t="s">
        <v>7</v>
      </c>
      <c r="E1084" s="59" t="s">
        <v>1993</v>
      </c>
      <c r="F1084" s="58"/>
    </row>
    <row r="1085" ht="15" customHeight="1" spans="1:6">
      <c r="A1085" s="56" t="s">
        <v>1991</v>
      </c>
      <c r="B1085" s="56" t="s">
        <v>3205</v>
      </c>
      <c r="C1085" s="57" t="s">
        <v>95</v>
      </c>
      <c r="D1085" s="56" t="s">
        <v>7</v>
      </c>
      <c r="E1085" s="59" t="s">
        <v>1993</v>
      </c>
      <c r="F1085" s="58"/>
    </row>
    <row r="1086" ht="15" customHeight="1" spans="1:6">
      <c r="A1086" s="56" t="s">
        <v>1991</v>
      </c>
      <c r="B1086" s="56" t="s">
        <v>3206</v>
      </c>
      <c r="C1086" s="57" t="s">
        <v>2701</v>
      </c>
      <c r="D1086" s="56" t="s">
        <v>7</v>
      </c>
      <c r="E1086" s="59" t="s">
        <v>1993</v>
      </c>
      <c r="F1086" s="58"/>
    </row>
    <row r="1087" ht="15" customHeight="1" spans="1:6">
      <c r="A1087" s="56" t="s">
        <v>1991</v>
      </c>
      <c r="B1087" s="56" t="s">
        <v>3207</v>
      </c>
      <c r="C1087" s="57" t="s">
        <v>96</v>
      </c>
      <c r="D1087" s="56" t="s">
        <v>7</v>
      </c>
      <c r="E1087" s="59" t="s">
        <v>1993</v>
      </c>
      <c r="F1087" s="58"/>
    </row>
    <row r="1088" ht="15" customHeight="1" spans="1:6">
      <c r="A1088" s="56" t="s">
        <v>1991</v>
      </c>
      <c r="B1088" s="56" t="s">
        <v>3208</v>
      </c>
      <c r="C1088" s="57" t="s">
        <v>49</v>
      </c>
      <c r="D1088" s="56" t="s">
        <v>7</v>
      </c>
      <c r="E1088" s="59" t="s">
        <v>1993</v>
      </c>
      <c r="F1088" s="58"/>
    </row>
    <row r="1089" ht="15" customHeight="1" spans="1:6">
      <c r="A1089" s="56" t="s">
        <v>1991</v>
      </c>
      <c r="B1089" s="56" t="s">
        <v>3209</v>
      </c>
      <c r="C1089" s="57" t="s">
        <v>3210</v>
      </c>
      <c r="D1089" s="56" t="s">
        <v>7</v>
      </c>
      <c r="E1089" s="59" t="s">
        <v>1993</v>
      </c>
      <c r="F1089" s="58"/>
    </row>
    <row r="1090" ht="15" customHeight="1" spans="1:6">
      <c r="A1090" s="56" t="s">
        <v>1991</v>
      </c>
      <c r="B1090" s="56" t="s">
        <v>3211</v>
      </c>
      <c r="C1090" s="57" t="s">
        <v>3212</v>
      </c>
      <c r="D1090" s="56" t="s">
        <v>7</v>
      </c>
      <c r="E1090" s="59" t="s">
        <v>1993</v>
      </c>
      <c r="F1090" s="58"/>
    </row>
    <row r="1091" ht="15" customHeight="1" spans="1:6">
      <c r="A1091" s="56" t="s">
        <v>1991</v>
      </c>
      <c r="B1091" s="56" t="s">
        <v>3213</v>
      </c>
      <c r="C1091" s="57" t="s">
        <v>3212</v>
      </c>
      <c r="D1091" s="56" t="s">
        <v>7</v>
      </c>
      <c r="E1091" s="59" t="s">
        <v>1993</v>
      </c>
      <c r="F1091" s="58"/>
    </row>
    <row r="1092" ht="15" customHeight="1" spans="1:6">
      <c r="A1092" s="56" t="s">
        <v>1991</v>
      </c>
      <c r="B1092" s="56" t="s">
        <v>3214</v>
      </c>
      <c r="C1092" s="57" t="s">
        <v>3215</v>
      </c>
      <c r="D1092" s="56" t="s">
        <v>7</v>
      </c>
      <c r="E1092" s="59" t="s">
        <v>1993</v>
      </c>
      <c r="F1092" s="58"/>
    </row>
    <row r="1093" ht="15" customHeight="1" spans="1:6">
      <c r="A1093" s="56" t="s">
        <v>1991</v>
      </c>
      <c r="B1093" s="56" t="s">
        <v>3216</v>
      </c>
      <c r="C1093" s="57" t="s">
        <v>108</v>
      </c>
      <c r="D1093" s="56" t="s">
        <v>7</v>
      </c>
      <c r="E1093" s="59" t="s">
        <v>1993</v>
      </c>
      <c r="F1093" s="58"/>
    </row>
    <row r="1094" ht="15" customHeight="1" spans="1:6">
      <c r="A1094" s="56" t="s">
        <v>1991</v>
      </c>
      <c r="B1094" s="56" t="s">
        <v>3217</v>
      </c>
      <c r="C1094" s="57" t="s">
        <v>3215</v>
      </c>
      <c r="D1094" s="56" t="s">
        <v>7</v>
      </c>
      <c r="E1094" s="59" t="s">
        <v>1993</v>
      </c>
      <c r="F1094" s="58"/>
    </row>
    <row r="1095" ht="15" customHeight="1" spans="1:6">
      <c r="A1095" s="56" t="s">
        <v>1991</v>
      </c>
      <c r="B1095" s="56" t="s">
        <v>3218</v>
      </c>
      <c r="C1095" s="57" t="s">
        <v>108</v>
      </c>
      <c r="D1095" s="56" t="s">
        <v>7</v>
      </c>
      <c r="E1095" s="59" t="s">
        <v>1993</v>
      </c>
      <c r="F1095" s="58"/>
    </row>
    <row r="1096" ht="15" customHeight="1" spans="1:6">
      <c r="A1096" s="56" t="s">
        <v>1991</v>
      </c>
      <c r="B1096" s="56" t="s">
        <v>3219</v>
      </c>
      <c r="C1096" s="57" t="s">
        <v>903</v>
      </c>
      <c r="D1096" s="56" t="s">
        <v>7</v>
      </c>
      <c r="E1096" s="59" t="s">
        <v>1993</v>
      </c>
      <c r="F1096" s="58"/>
    </row>
    <row r="1097" ht="15" customHeight="1" spans="1:6">
      <c r="A1097" s="56" t="s">
        <v>1991</v>
      </c>
      <c r="B1097" s="56" t="s">
        <v>3220</v>
      </c>
      <c r="C1097" s="57" t="s">
        <v>903</v>
      </c>
      <c r="D1097" s="56" t="s">
        <v>7</v>
      </c>
      <c r="E1097" s="59" t="s">
        <v>1993</v>
      </c>
      <c r="F1097" s="58"/>
    </row>
    <row r="1098" ht="15" customHeight="1" spans="1:6">
      <c r="A1098" s="56" t="s">
        <v>1991</v>
      </c>
      <c r="B1098" s="56" t="s">
        <v>3221</v>
      </c>
      <c r="C1098" s="57" t="s">
        <v>903</v>
      </c>
      <c r="D1098" s="56" t="s">
        <v>7</v>
      </c>
      <c r="E1098" s="59" t="s">
        <v>1993</v>
      </c>
      <c r="F1098" s="58"/>
    </row>
    <row r="1099" ht="15" customHeight="1" spans="1:6">
      <c r="A1099" s="56" t="s">
        <v>1991</v>
      </c>
      <c r="B1099" s="56" t="s">
        <v>3222</v>
      </c>
      <c r="C1099" s="57" t="s">
        <v>903</v>
      </c>
      <c r="D1099" s="56" t="s">
        <v>7</v>
      </c>
      <c r="E1099" s="59" t="s">
        <v>1993</v>
      </c>
      <c r="F1099" s="58"/>
    </row>
    <row r="1100" ht="15" customHeight="1" spans="1:6">
      <c r="A1100" s="56" t="s">
        <v>1991</v>
      </c>
      <c r="B1100" s="56" t="s">
        <v>3223</v>
      </c>
      <c r="C1100" s="57" t="s">
        <v>2427</v>
      </c>
      <c r="D1100" s="56" t="s">
        <v>7</v>
      </c>
      <c r="E1100" s="59" t="s">
        <v>1993</v>
      </c>
      <c r="F1100" s="58"/>
    </row>
    <row r="1101" ht="15" customHeight="1" spans="1:6">
      <c r="A1101" s="56" t="s">
        <v>1991</v>
      </c>
      <c r="B1101" s="56" t="s">
        <v>3224</v>
      </c>
      <c r="C1101" s="57" t="s">
        <v>2063</v>
      </c>
      <c r="D1101" s="56" t="s">
        <v>7</v>
      </c>
      <c r="E1101" s="59" t="s">
        <v>1993</v>
      </c>
      <c r="F1101" s="58"/>
    </row>
    <row r="1102" ht="15" customHeight="1" spans="1:6">
      <c r="A1102" s="56" t="s">
        <v>1991</v>
      </c>
      <c r="B1102" s="56" t="s">
        <v>3225</v>
      </c>
      <c r="C1102" s="57" t="s">
        <v>2063</v>
      </c>
      <c r="D1102" s="56" t="s">
        <v>7</v>
      </c>
      <c r="E1102" s="59" t="s">
        <v>1993</v>
      </c>
      <c r="F1102" s="58"/>
    </row>
    <row r="1103" ht="15" customHeight="1" spans="1:6">
      <c r="A1103" s="56" t="s">
        <v>1991</v>
      </c>
      <c r="B1103" s="56" t="s">
        <v>3226</v>
      </c>
      <c r="C1103" s="57" t="s">
        <v>2063</v>
      </c>
      <c r="D1103" s="56" t="s">
        <v>7</v>
      </c>
      <c r="E1103" s="59" t="s">
        <v>1993</v>
      </c>
      <c r="F1103" s="58"/>
    </row>
    <row r="1104" ht="15" customHeight="1" spans="1:6">
      <c r="A1104" s="56" t="s">
        <v>1991</v>
      </c>
      <c r="B1104" s="56" t="s">
        <v>3227</v>
      </c>
      <c r="C1104" s="57" t="s">
        <v>2063</v>
      </c>
      <c r="D1104" s="56" t="s">
        <v>7</v>
      </c>
      <c r="E1104" s="59" t="s">
        <v>1993</v>
      </c>
      <c r="F1104" s="58"/>
    </row>
    <row r="1105" ht="15" customHeight="1" spans="1:6">
      <c r="A1105" s="56" t="s">
        <v>1991</v>
      </c>
      <c r="B1105" s="56" t="s">
        <v>3228</v>
      </c>
      <c r="C1105" s="57" t="s">
        <v>914</v>
      </c>
      <c r="D1105" s="56" t="s">
        <v>7</v>
      </c>
      <c r="E1105" s="59" t="s">
        <v>1993</v>
      </c>
      <c r="F1105" s="58"/>
    </row>
    <row r="1106" ht="15" customHeight="1" spans="1:6">
      <c r="A1106" s="56" t="s">
        <v>1991</v>
      </c>
      <c r="B1106" s="56" t="s">
        <v>3229</v>
      </c>
      <c r="C1106" s="57" t="s">
        <v>2594</v>
      </c>
      <c r="D1106" s="56" t="s">
        <v>7</v>
      </c>
      <c r="E1106" s="59" t="s">
        <v>1993</v>
      </c>
      <c r="F1106" s="58"/>
    </row>
    <row r="1107" ht="15" customHeight="1" spans="1:6">
      <c r="A1107" s="56" t="s">
        <v>1991</v>
      </c>
      <c r="B1107" s="56" t="s">
        <v>3230</v>
      </c>
      <c r="C1107" s="57" t="s">
        <v>177</v>
      </c>
      <c r="D1107" s="56" t="s">
        <v>7</v>
      </c>
      <c r="E1107" s="59" t="s">
        <v>1993</v>
      </c>
      <c r="F1107" s="58"/>
    </row>
    <row r="1108" ht="15" customHeight="1" spans="1:6">
      <c r="A1108" s="56" t="s">
        <v>1991</v>
      </c>
      <c r="B1108" s="56" t="s">
        <v>3231</v>
      </c>
      <c r="C1108" s="57" t="s">
        <v>177</v>
      </c>
      <c r="D1108" s="56" t="s">
        <v>7</v>
      </c>
      <c r="E1108" s="59" t="s">
        <v>1993</v>
      </c>
      <c r="F1108" s="58"/>
    </row>
    <row r="1109" ht="15" customHeight="1" spans="1:6">
      <c r="A1109" s="56" t="s">
        <v>1991</v>
      </c>
      <c r="B1109" s="56" t="s">
        <v>3232</v>
      </c>
      <c r="C1109" s="57" t="s">
        <v>177</v>
      </c>
      <c r="D1109" s="56" t="s">
        <v>7</v>
      </c>
      <c r="E1109" s="59" t="s">
        <v>1993</v>
      </c>
      <c r="F1109" s="58"/>
    </row>
    <row r="1110" ht="15" customHeight="1" spans="1:6">
      <c r="A1110" s="56" t="s">
        <v>1991</v>
      </c>
      <c r="B1110" s="56" t="s">
        <v>3233</v>
      </c>
      <c r="C1110" s="57" t="s">
        <v>177</v>
      </c>
      <c r="D1110" s="56" t="s">
        <v>7</v>
      </c>
      <c r="E1110" s="59" t="s">
        <v>1993</v>
      </c>
      <c r="F1110" s="58"/>
    </row>
    <row r="1111" ht="15" customHeight="1" spans="1:6">
      <c r="A1111" s="56" t="s">
        <v>1991</v>
      </c>
      <c r="B1111" s="56" t="s">
        <v>3234</v>
      </c>
      <c r="C1111" s="57" t="s">
        <v>3210</v>
      </c>
      <c r="D1111" s="56" t="s">
        <v>7</v>
      </c>
      <c r="E1111" s="59" t="s">
        <v>1993</v>
      </c>
      <c r="F1111" s="58"/>
    </row>
    <row r="1112" ht="15" customHeight="1" spans="1:6">
      <c r="A1112" s="56" t="s">
        <v>1991</v>
      </c>
      <c r="B1112" s="56" t="s">
        <v>3235</v>
      </c>
      <c r="C1112" s="57" t="s">
        <v>177</v>
      </c>
      <c r="D1112" s="56" t="s">
        <v>7</v>
      </c>
      <c r="E1112" s="59" t="s">
        <v>1993</v>
      </c>
      <c r="F1112" s="58"/>
    </row>
    <row r="1113" ht="15" customHeight="1" spans="1:6">
      <c r="A1113" s="56" t="s">
        <v>1991</v>
      </c>
      <c r="B1113" s="56" t="s">
        <v>3236</v>
      </c>
      <c r="C1113" s="57" t="s">
        <v>177</v>
      </c>
      <c r="D1113" s="56" t="s">
        <v>7</v>
      </c>
      <c r="E1113" s="59" t="s">
        <v>1993</v>
      </c>
      <c r="F1113" s="58"/>
    </row>
    <row r="1114" ht="15" customHeight="1" spans="1:6">
      <c r="A1114" s="56" t="s">
        <v>1991</v>
      </c>
      <c r="B1114" s="56" t="s">
        <v>3237</v>
      </c>
      <c r="C1114" s="57" t="s">
        <v>177</v>
      </c>
      <c r="D1114" s="56" t="s">
        <v>7</v>
      </c>
      <c r="E1114" s="59" t="s">
        <v>1993</v>
      </c>
      <c r="F1114" s="58"/>
    </row>
    <row r="1115" ht="15" customHeight="1" spans="1:6">
      <c r="A1115" s="56" t="s">
        <v>1991</v>
      </c>
      <c r="B1115" s="56" t="s">
        <v>3238</v>
      </c>
      <c r="C1115" s="57" t="s">
        <v>177</v>
      </c>
      <c r="D1115" s="56" t="s">
        <v>7</v>
      </c>
      <c r="E1115" s="59" t="s">
        <v>1993</v>
      </c>
      <c r="F1115" s="58"/>
    </row>
    <row r="1116" ht="15" customHeight="1" spans="1:6">
      <c r="A1116" s="56" t="s">
        <v>1991</v>
      </c>
      <c r="B1116" s="56" t="s">
        <v>3239</v>
      </c>
      <c r="C1116" s="57" t="s">
        <v>177</v>
      </c>
      <c r="D1116" s="56" t="s">
        <v>7</v>
      </c>
      <c r="E1116" s="59" t="s">
        <v>1993</v>
      </c>
      <c r="F1116" s="58"/>
    </row>
    <row r="1117" ht="15" customHeight="1" spans="1:6">
      <c r="A1117" s="56" t="s">
        <v>1991</v>
      </c>
      <c r="B1117" s="56" t="s">
        <v>3240</v>
      </c>
      <c r="C1117" s="57" t="s">
        <v>177</v>
      </c>
      <c r="D1117" s="56" t="s">
        <v>7</v>
      </c>
      <c r="E1117" s="59" t="s">
        <v>1993</v>
      </c>
      <c r="F1117" s="58"/>
    </row>
    <row r="1118" ht="15" customHeight="1" spans="1:6">
      <c r="A1118" s="56" t="s">
        <v>1991</v>
      </c>
      <c r="B1118" s="56" t="s">
        <v>3241</v>
      </c>
      <c r="C1118" s="57" t="s">
        <v>177</v>
      </c>
      <c r="D1118" s="56" t="s">
        <v>7</v>
      </c>
      <c r="E1118" s="59" t="s">
        <v>1993</v>
      </c>
      <c r="F1118" s="58"/>
    </row>
    <row r="1119" ht="15" customHeight="1" spans="1:6">
      <c r="A1119" s="56" t="s">
        <v>1991</v>
      </c>
      <c r="B1119" s="56" t="s">
        <v>3242</v>
      </c>
      <c r="C1119" s="57" t="s">
        <v>177</v>
      </c>
      <c r="D1119" s="56" t="s">
        <v>7</v>
      </c>
      <c r="E1119" s="59" t="s">
        <v>1993</v>
      </c>
      <c r="F1119" s="58"/>
    </row>
    <row r="1120" ht="15" customHeight="1" spans="1:6">
      <c r="A1120" s="56" t="s">
        <v>1991</v>
      </c>
      <c r="B1120" s="56" t="s">
        <v>3243</v>
      </c>
      <c r="C1120" s="57" t="s">
        <v>177</v>
      </c>
      <c r="D1120" s="56" t="s">
        <v>7</v>
      </c>
      <c r="E1120" s="59" t="s">
        <v>1993</v>
      </c>
      <c r="F1120" s="58"/>
    </row>
    <row r="1121" ht="15" customHeight="1" spans="1:6">
      <c r="A1121" s="56" t="s">
        <v>1991</v>
      </c>
      <c r="B1121" s="56" t="s">
        <v>3244</v>
      </c>
      <c r="C1121" s="57" t="s">
        <v>177</v>
      </c>
      <c r="D1121" s="56" t="s">
        <v>7</v>
      </c>
      <c r="E1121" s="59" t="s">
        <v>1993</v>
      </c>
      <c r="F1121" s="58"/>
    </row>
    <row r="1122" ht="15" customHeight="1" spans="1:6">
      <c r="A1122" s="56" t="s">
        <v>1991</v>
      </c>
      <c r="B1122" s="56" t="s">
        <v>3245</v>
      </c>
      <c r="C1122" s="57" t="s">
        <v>177</v>
      </c>
      <c r="D1122" s="56" t="s">
        <v>7</v>
      </c>
      <c r="E1122" s="59" t="s">
        <v>1993</v>
      </c>
      <c r="F1122" s="58"/>
    </row>
    <row r="1123" ht="15" customHeight="1" spans="1:6">
      <c r="A1123" s="56" t="s">
        <v>1991</v>
      </c>
      <c r="B1123" s="56" t="s">
        <v>3246</v>
      </c>
      <c r="C1123" s="57" t="s">
        <v>177</v>
      </c>
      <c r="D1123" s="56" t="s">
        <v>7</v>
      </c>
      <c r="E1123" s="59" t="s">
        <v>1993</v>
      </c>
      <c r="F1123" s="58"/>
    </row>
    <row r="1124" ht="15" customHeight="1" spans="1:6">
      <c r="A1124" s="56" t="s">
        <v>1991</v>
      </c>
      <c r="B1124" s="56" t="s">
        <v>3247</v>
      </c>
      <c r="C1124" s="57" t="s">
        <v>177</v>
      </c>
      <c r="D1124" s="56" t="s">
        <v>7</v>
      </c>
      <c r="E1124" s="59" t="s">
        <v>1993</v>
      </c>
      <c r="F1124" s="58"/>
    </row>
    <row r="1125" ht="15" customHeight="1" spans="1:6">
      <c r="A1125" s="56" t="s">
        <v>1991</v>
      </c>
      <c r="B1125" s="56" t="s">
        <v>3248</v>
      </c>
      <c r="C1125" s="57" t="s">
        <v>177</v>
      </c>
      <c r="D1125" s="56" t="s">
        <v>7</v>
      </c>
      <c r="E1125" s="59" t="s">
        <v>1993</v>
      </c>
      <c r="F1125" s="58"/>
    </row>
    <row r="1126" ht="15" customHeight="1" spans="1:6">
      <c r="A1126" s="56" t="s">
        <v>1991</v>
      </c>
      <c r="B1126" s="56" t="s">
        <v>3249</v>
      </c>
      <c r="C1126" s="57" t="s">
        <v>177</v>
      </c>
      <c r="D1126" s="56" t="s">
        <v>7</v>
      </c>
      <c r="E1126" s="59" t="s">
        <v>1993</v>
      </c>
      <c r="F1126" s="58"/>
    </row>
    <row r="1127" ht="15" customHeight="1" spans="1:6">
      <c r="A1127" s="56" t="s">
        <v>1991</v>
      </c>
      <c r="B1127" s="56" t="s">
        <v>3250</v>
      </c>
      <c r="C1127" s="57" t="s">
        <v>177</v>
      </c>
      <c r="D1127" s="56" t="s">
        <v>7</v>
      </c>
      <c r="E1127" s="59" t="s">
        <v>1993</v>
      </c>
      <c r="F1127" s="58"/>
    </row>
    <row r="1128" ht="15" customHeight="1" spans="1:6">
      <c r="A1128" s="56" t="s">
        <v>1991</v>
      </c>
      <c r="B1128" s="56" t="s">
        <v>3251</v>
      </c>
      <c r="C1128" s="57" t="s">
        <v>177</v>
      </c>
      <c r="D1128" s="56" t="s">
        <v>7</v>
      </c>
      <c r="E1128" s="59" t="s">
        <v>1993</v>
      </c>
      <c r="F1128" s="58"/>
    </row>
    <row r="1129" ht="15" customHeight="1" spans="1:6">
      <c r="A1129" s="56" t="s">
        <v>1991</v>
      </c>
      <c r="B1129" s="56" t="s">
        <v>3252</v>
      </c>
      <c r="C1129" s="57" t="s">
        <v>177</v>
      </c>
      <c r="D1129" s="56" t="s">
        <v>7</v>
      </c>
      <c r="E1129" s="59" t="s">
        <v>1993</v>
      </c>
      <c r="F1129" s="58"/>
    </row>
    <row r="1130" ht="15" customHeight="1" spans="1:6">
      <c r="A1130" s="56" t="s">
        <v>1991</v>
      </c>
      <c r="B1130" s="56" t="s">
        <v>3253</v>
      </c>
      <c r="C1130" s="57" t="s">
        <v>177</v>
      </c>
      <c r="D1130" s="56" t="s">
        <v>7</v>
      </c>
      <c r="E1130" s="59" t="s">
        <v>1993</v>
      </c>
      <c r="F1130" s="58"/>
    </row>
    <row r="1131" ht="15" customHeight="1" spans="1:6">
      <c r="A1131" s="56" t="s">
        <v>1991</v>
      </c>
      <c r="B1131" s="56" t="s">
        <v>3254</v>
      </c>
      <c r="C1131" s="57" t="s">
        <v>177</v>
      </c>
      <c r="D1131" s="56" t="s">
        <v>7</v>
      </c>
      <c r="E1131" s="59" t="s">
        <v>1993</v>
      </c>
      <c r="F1131" s="58"/>
    </row>
    <row r="1132" ht="15" customHeight="1" spans="1:6">
      <c r="A1132" s="56" t="s">
        <v>1991</v>
      </c>
      <c r="B1132" s="56" t="s">
        <v>3255</v>
      </c>
      <c r="C1132" s="57" t="s">
        <v>177</v>
      </c>
      <c r="D1132" s="56" t="s">
        <v>7</v>
      </c>
      <c r="E1132" s="59" t="s">
        <v>1993</v>
      </c>
      <c r="F1132" s="58"/>
    </row>
    <row r="1133" ht="15" customHeight="1" spans="1:6">
      <c r="A1133" s="56" t="s">
        <v>1991</v>
      </c>
      <c r="B1133" s="56" t="s">
        <v>3256</v>
      </c>
      <c r="C1133" s="57" t="s">
        <v>177</v>
      </c>
      <c r="D1133" s="56" t="s">
        <v>7</v>
      </c>
      <c r="E1133" s="59" t="s">
        <v>1993</v>
      </c>
      <c r="F1133" s="58"/>
    </row>
    <row r="1134" ht="15" customHeight="1" spans="1:6">
      <c r="A1134" s="56" t="s">
        <v>1991</v>
      </c>
      <c r="B1134" s="56" t="s">
        <v>3257</v>
      </c>
      <c r="C1134" s="57" t="s">
        <v>177</v>
      </c>
      <c r="D1134" s="56" t="s">
        <v>7</v>
      </c>
      <c r="E1134" s="59" t="s">
        <v>1993</v>
      </c>
      <c r="F1134" s="58"/>
    </row>
    <row r="1135" ht="15" customHeight="1" spans="1:6">
      <c r="A1135" s="56" t="s">
        <v>1991</v>
      </c>
      <c r="B1135" s="56" t="s">
        <v>3258</v>
      </c>
      <c r="C1135" s="57" t="s">
        <v>177</v>
      </c>
      <c r="D1135" s="56" t="s">
        <v>7</v>
      </c>
      <c r="E1135" s="59" t="s">
        <v>1993</v>
      </c>
      <c r="F1135" s="58"/>
    </row>
    <row r="1136" ht="15" customHeight="1" spans="1:6">
      <c r="A1136" s="56" t="s">
        <v>1991</v>
      </c>
      <c r="B1136" s="56" t="s">
        <v>3259</v>
      </c>
      <c r="C1136" s="57" t="s">
        <v>177</v>
      </c>
      <c r="D1136" s="56" t="s">
        <v>7</v>
      </c>
      <c r="E1136" s="59" t="s">
        <v>1993</v>
      </c>
      <c r="F1136" s="58"/>
    </row>
    <row r="1137" ht="15" customHeight="1" spans="1:6">
      <c r="A1137" s="56" t="s">
        <v>1991</v>
      </c>
      <c r="B1137" s="56" t="s">
        <v>3260</v>
      </c>
      <c r="C1137" s="57" t="s">
        <v>177</v>
      </c>
      <c r="D1137" s="56" t="s">
        <v>7</v>
      </c>
      <c r="E1137" s="59" t="s">
        <v>1993</v>
      </c>
      <c r="F1137" s="58"/>
    </row>
    <row r="1138" ht="15" customHeight="1" spans="1:6">
      <c r="A1138" s="56" t="s">
        <v>1991</v>
      </c>
      <c r="B1138" s="56" t="s">
        <v>3261</v>
      </c>
      <c r="C1138" s="57" t="s">
        <v>177</v>
      </c>
      <c r="D1138" s="56" t="s">
        <v>7</v>
      </c>
      <c r="E1138" s="59" t="s">
        <v>1993</v>
      </c>
      <c r="F1138" s="58"/>
    </row>
    <row r="1139" ht="15" customHeight="1" spans="1:6">
      <c r="A1139" s="56" t="s">
        <v>1991</v>
      </c>
      <c r="B1139" s="56" t="s">
        <v>3262</v>
      </c>
      <c r="C1139" s="57" t="s">
        <v>177</v>
      </c>
      <c r="D1139" s="56" t="s">
        <v>7</v>
      </c>
      <c r="E1139" s="59" t="s">
        <v>1993</v>
      </c>
      <c r="F1139" s="58"/>
    </row>
    <row r="1140" ht="15" customHeight="1" spans="1:6">
      <c r="A1140" s="56" t="s">
        <v>1991</v>
      </c>
      <c r="B1140" s="56" t="s">
        <v>3263</v>
      </c>
      <c r="C1140" s="57" t="s">
        <v>177</v>
      </c>
      <c r="D1140" s="56" t="s">
        <v>7</v>
      </c>
      <c r="E1140" s="59" t="s">
        <v>1993</v>
      </c>
      <c r="F1140" s="58"/>
    </row>
    <row r="1141" ht="15" customHeight="1" spans="1:6">
      <c r="A1141" s="56" t="s">
        <v>1991</v>
      </c>
      <c r="B1141" s="56" t="s">
        <v>3264</v>
      </c>
      <c r="C1141" s="57" t="s">
        <v>177</v>
      </c>
      <c r="D1141" s="56" t="s">
        <v>7</v>
      </c>
      <c r="E1141" s="59" t="s">
        <v>1993</v>
      </c>
      <c r="F1141" s="58"/>
    </row>
    <row r="1142" ht="15" customHeight="1" spans="1:6">
      <c r="A1142" s="56" t="s">
        <v>1991</v>
      </c>
      <c r="B1142" s="56" t="s">
        <v>3265</v>
      </c>
      <c r="C1142" s="57" t="s">
        <v>177</v>
      </c>
      <c r="D1142" s="56" t="s">
        <v>7</v>
      </c>
      <c r="E1142" s="59" t="s">
        <v>1993</v>
      </c>
      <c r="F1142" s="58"/>
    </row>
    <row r="1143" ht="15" customHeight="1" spans="1:6">
      <c r="A1143" s="56" t="s">
        <v>1991</v>
      </c>
      <c r="B1143" s="56" t="s">
        <v>3266</v>
      </c>
      <c r="C1143" s="57" t="s">
        <v>177</v>
      </c>
      <c r="D1143" s="56" t="s">
        <v>7</v>
      </c>
      <c r="E1143" s="59" t="s">
        <v>1993</v>
      </c>
      <c r="F1143" s="58"/>
    </row>
    <row r="1144" ht="15" customHeight="1" spans="1:6">
      <c r="A1144" s="56" t="s">
        <v>1991</v>
      </c>
      <c r="B1144" s="56" t="s">
        <v>3267</v>
      </c>
      <c r="C1144" s="57" t="s">
        <v>177</v>
      </c>
      <c r="D1144" s="56" t="s">
        <v>7</v>
      </c>
      <c r="E1144" s="59" t="s">
        <v>1993</v>
      </c>
      <c r="F1144" s="58"/>
    </row>
    <row r="1145" ht="15" customHeight="1" spans="1:6">
      <c r="A1145" s="56" t="s">
        <v>1991</v>
      </c>
      <c r="B1145" s="56" t="s">
        <v>3268</v>
      </c>
      <c r="C1145" s="57" t="s">
        <v>177</v>
      </c>
      <c r="D1145" s="56" t="s">
        <v>7</v>
      </c>
      <c r="E1145" s="59" t="s">
        <v>1993</v>
      </c>
      <c r="F1145" s="58"/>
    </row>
    <row r="1146" ht="15" customHeight="1" spans="1:6">
      <c r="A1146" s="56" t="s">
        <v>1991</v>
      </c>
      <c r="B1146" s="56" t="s">
        <v>3269</v>
      </c>
      <c r="C1146" s="57" t="s">
        <v>177</v>
      </c>
      <c r="D1146" s="56" t="s">
        <v>7</v>
      </c>
      <c r="E1146" s="59" t="s">
        <v>1993</v>
      </c>
      <c r="F1146" s="58"/>
    </row>
    <row r="1147" ht="15" customHeight="1" spans="1:6">
      <c r="A1147" s="56" t="s">
        <v>1991</v>
      </c>
      <c r="B1147" s="56" t="s">
        <v>3270</v>
      </c>
      <c r="C1147" s="57" t="s">
        <v>177</v>
      </c>
      <c r="D1147" s="56" t="s">
        <v>7</v>
      </c>
      <c r="E1147" s="59" t="s">
        <v>1993</v>
      </c>
      <c r="F1147" s="58"/>
    </row>
    <row r="1148" ht="15" customHeight="1" spans="1:6">
      <c r="A1148" s="56" t="s">
        <v>1991</v>
      </c>
      <c r="B1148" s="56" t="s">
        <v>3271</v>
      </c>
      <c r="C1148" s="57" t="s">
        <v>177</v>
      </c>
      <c r="D1148" s="56" t="s">
        <v>7</v>
      </c>
      <c r="E1148" s="59" t="s">
        <v>1993</v>
      </c>
      <c r="F1148" s="58"/>
    </row>
    <row r="1149" ht="15" customHeight="1" spans="1:6">
      <c r="A1149" s="56" t="s">
        <v>1991</v>
      </c>
      <c r="B1149" s="56" t="s">
        <v>3272</v>
      </c>
      <c r="C1149" s="57" t="s">
        <v>177</v>
      </c>
      <c r="D1149" s="56" t="s">
        <v>7</v>
      </c>
      <c r="E1149" s="59" t="s">
        <v>1993</v>
      </c>
      <c r="F1149" s="58"/>
    </row>
    <row r="1150" ht="15" customHeight="1" spans="1:6">
      <c r="A1150" s="56" t="s">
        <v>1991</v>
      </c>
      <c r="B1150" s="56" t="s">
        <v>3273</v>
      </c>
      <c r="C1150" s="57" t="s">
        <v>177</v>
      </c>
      <c r="D1150" s="56" t="s">
        <v>7</v>
      </c>
      <c r="E1150" s="59" t="s">
        <v>1993</v>
      </c>
      <c r="F1150" s="58"/>
    </row>
    <row r="1151" ht="15" customHeight="1" spans="1:6">
      <c r="A1151" s="56" t="s">
        <v>1991</v>
      </c>
      <c r="B1151" s="56" t="s">
        <v>3274</v>
      </c>
      <c r="C1151" s="57" t="s">
        <v>177</v>
      </c>
      <c r="D1151" s="56" t="s">
        <v>7</v>
      </c>
      <c r="E1151" s="59" t="s">
        <v>1993</v>
      </c>
      <c r="F1151" s="58"/>
    </row>
    <row r="1152" ht="15" customHeight="1" spans="1:6">
      <c r="A1152" s="56" t="s">
        <v>1991</v>
      </c>
      <c r="B1152" s="56" t="s">
        <v>3275</v>
      </c>
      <c r="C1152" s="57" t="s">
        <v>177</v>
      </c>
      <c r="D1152" s="56" t="s">
        <v>7</v>
      </c>
      <c r="E1152" s="59" t="s">
        <v>1993</v>
      </c>
      <c r="F1152" s="58"/>
    </row>
    <row r="1153" ht="15" customHeight="1" spans="1:6">
      <c r="A1153" s="56" t="s">
        <v>1991</v>
      </c>
      <c r="B1153" s="56" t="s">
        <v>3276</v>
      </c>
      <c r="C1153" s="57" t="s">
        <v>177</v>
      </c>
      <c r="D1153" s="56" t="s">
        <v>7</v>
      </c>
      <c r="E1153" s="59" t="s">
        <v>1993</v>
      </c>
      <c r="F1153" s="58"/>
    </row>
    <row r="1154" ht="15" customHeight="1" spans="1:6">
      <c r="A1154" s="56" t="s">
        <v>1991</v>
      </c>
      <c r="B1154" s="56" t="s">
        <v>3277</v>
      </c>
      <c r="C1154" s="57" t="s">
        <v>177</v>
      </c>
      <c r="D1154" s="56" t="s">
        <v>7</v>
      </c>
      <c r="E1154" s="59" t="s">
        <v>1993</v>
      </c>
      <c r="F1154" s="58"/>
    </row>
    <row r="1155" ht="15" customHeight="1" spans="1:6">
      <c r="A1155" s="56" t="s">
        <v>1991</v>
      </c>
      <c r="B1155" s="56" t="s">
        <v>3278</v>
      </c>
      <c r="C1155" s="57" t="s">
        <v>177</v>
      </c>
      <c r="D1155" s="56" t="s">
        <v>7</v>
      </c>
      <c r="E1155" s="59" t="s">
        <v>1993</v>
      </c>
      <c r="F1155" s="58"/>
    </row>
    <row r="1156" ht="15" customHeight="1" spans="1:6">
      <c r="A1156" s="56" t="s">
        <v>1991</v>
      </c>
      <c r="B1156" s="56" t="s">
        <v>3279</v>
      </c>
      <c r="C1156" s="57" t="s">
        <v>177</v>
      </c>
      <c r="D1156" s="56" t="s">
        <v>7</v>
      </c>
      <c r="E1156" s="59" t="s">
        <v>1993</v>
      </c>
      <c r="F1156" s="58"/>
    </row>
    <row r="1157" ht="15" customHeight="1" spans="1:6">
      <c r="A1157" s="56" t="s">
        <v>1991</v>
      </c>
      <c r="B1157" s="56" t="s">
        <v>3280</v>
      </c>
      <c r="C1157" s="57" t="s">
        <v>177</v>
      </c>
      <c r="D1157" s="56" t="s">
        <v>7</v>
      </c>
      <c r="E1157" s="59" t="s">
        <v>1993</v>
      </c>
      <c r="F1157" s="58"/>
    </row>
    <row r="1158" ht="15" customHeight="1" spans="1:6">
      <c r="A1158" s="56" t="s">
        <v>1991</v>
      </c>
      <c r="B1158" s="56" t="s">
        <v>3281</v>
      </c>
      <c r="C1158" s="57" t="s">
        <v>177</v>
      </c>
      <c r="D1158" s="56" t="s">
        <v>7</v>
      </c>
      <c r="E1158" s="59" t="s">
        <v>1993</v>
      </c>
      <c r="F1158" s="58"/>
    </row>
    <row r="1159" ht="15" customHeight="1" spans="1:6">
      <c r="A1159" s="56" t="s">
        <v>1991</v>
      </c>
      <c r="B1159" s="56" t="s">
        <v>3282</v>
      </c>
      <c r="C1159" s="57" t="s">
        <v>177</v>
      </c>
      <c r="D1159" s="56" t="s">
        <v>7</v>
      </c>
      <c r="E1159" s="59" t="s">
        <v>1993</v>
      </c>
      <c r="F1159" s="58"/>
    </row>
    <row r="1160" ht="15" customHeight="1" spans="1:6">
      <c r="A1160" s="56" t="s">
        <v>1991</v>
      </c>
      <c r="B1160" s="56" t="s">
        <v>3283</v>
      </c>
      <c r="C1160" s="57" t="s">
        <v>177</v>
      </c>
      <c r="D1160" s="56" t="s">
        <v>7</v>
      </c>
      <c r="E1160" s="59" t="s">
        <v>1993</v>
      </c>
      <c r="F1160" s="58"/>
    </row>
    <row r="1161" ht="15" customHeight="1" spans="1:6">
      <c r="A1161" s="56" t="s">
        <v>1991</v>
      </c>
      <c r="B1161" s="56" t="s">
        <v>3284</v>
      </c>
      <c r="C1161" s="57" t="s">
        <v>177</v>
      </c>
      <c r="D1161" s="56" t="s">
        <v>7</v>
      </c>
      <c r="E1161" s="59" t="s">
        <v>1993</v>
      </c>
      <c r="F1161" s="58"/>
    </row>
    <row r="1162" ht="15" customHeight="1" spans="1:6">
      <c r="A1162" s="56" t="s">
        <v>1991</v>
      </c>
      <c r="B1162" s="56" t="s">
        <v>3285</v>
      </c>
      <c r="C1162" s="57" t="s">
        <v>177</v>
      </c>
      <c r="D1162" s="56" t="s">
        <v>7</v>
      </c>
      <c r="E1162" s="59" t="s">
        <v>1993</v>
      </c>
      <c r="F1162" s="58"/>
    </row>
    <row r="1163" ht="15" customHeight="1" spans="1:6">
      <c r="A1163" s="56" t="s">
        <v>1991</v>
      </c>
      <c r="B1163" s="56" t="s">
        <v>3286</v>
      </c>
      <c r="C1163" s="57" t="s">
        <v>177</v>
      </c>
      <c r="D1163" s="56" t="s">
        <v>7</v>
      </c>
      <c r="E1163" s="59" t="s">
        <v>1993</v>
      </c>
      <c r="F1163" s="58"/>
    </row>
    <row r="1164" ht="15" customHeight="1" spans="1:6">
      <c r="A1164" s="56" t="s">
        <v>1991</v>
      </c>
      <c r="B1164" s="56" t="s">
        <v>3287</v>
      </c>
      <c r="C1164" s="57" t="s">
        <v>177</v>
      </c>
      <c r="D1164" s="56" t="s">
        <v>7</v>
      </c>
      <c r="E1164" s="59" t="s">
        <v>1993</v>
      </c>
      <c r="F1164" s="58"/>
    </row>
    <row r="1165" ht="15" customHeight="1" spans="1:6">
      <c r="A1165" s="56" t="s">
        <v>1991</v>
      </c>
      <c r="B1165" s="56" t="s">
        <v>3288</v>
      </c>
      <c r="C1165" s="57" t="s">
        <v>177</v>
      </c>
      <c r="D1165" s="56" t="s">
        <v>7</v>
      </c>
      <c r="E1165" s="59" t="s">
        <v>1993</v>
      </c>
      <c r="F1165" s="58"/>
    </row>
    <row r="1166" ht="15" customHeight="1" spans="1:6">
      <c r="A1166" s="56" t="s">
        <v>1991</v>
      </c>
      <c r="B1166" s="56" t="s">
        <v>3289</v>
      </c>
      <c r="C1166" s="57" t="s">
        <v>177</v>
      </c>
      <c r="D1166" s="56" t="s">
        <v>7</v>
      </c>
      <c r="E1166" s="59" t="s">
        <v>1993</v>
      </c>
      <c r="F1166" s="58"/>
    </row>
    <row r="1167" ht="15" customHeight="1" spans="1:6">
      <c r="A1167" s="56" t="s">
        <v>1991</v>
      </c>
      <c r="B1167" s="56" t="s">
        <v>3290</v>
      </c>
      <c r="C1167" s="57" t="s">
        <v>177</v>
      </c>
      <c r="D1167" s="56" t="s">
        <v>7</v>
      </c>
      <c r="E1167" s="59" t="s">
        <v>1993</v>
      </c>
      <c r="F1167" s="58"/>
    </row>
    <row r="1168" ht="15" customHeight="1" spans="1:6">
      <c r="A1168" s="56" t="s">
        <v>1991</v>
      </c>
      <c r="B1168" s="56" t="s">
        <v>3291</v>
      </c>
      <c r="C1168" s="57" t="s">
        <v>177</v>
      </c>
      <c r="D1168" s="56" t="s">
        <v>7</v>
      </c>
      <c r="E1168" s="59" t="s">
        <v>1993</v>
      </c>
      <c r="F1168" s="58"/>
    </row>
    <row r="1169" ht="15" customHeight="1" spans="1:6">
      <c r="A1169" s="56" t="s">
        <v>1991</v>
      </c>
      <c r="B1169" s="56" t="s">
        <v>3292</v>
      </c>
      <c r="C1169" s="57" t="s">
        <v>177</v>
      </c>
      <c r="D1169" s="56" t="s">
        <v>7</v>
      </c>
      <c r="E1169" s="59" t="s">
        <v>1993</v>
      </c>
      <c r="F1169" s="58"/>
    </row>
    <row r="1170" ht="15" customHeight="1" spans="1:6">
      <c r="A1170" s="56" t="s">
        <v>1991</v>
      </c>
      <c r="B1170" s="56" t="s">
        <v>3293</v>
      </c>
      <c r="C1170" s="57" t="s">
        <v>177</v>
      </c>
      <c r="D1170" s="56" t="s">
        <v>7</v>
      </c>
      <c r="E1170" s="59" t="s">
        <v>1993</v>
      </c>
      <c r="F1170" s="58"/>
    </row>
    <row r="1171" ht="15" customHeight="1" spans="1:6">
      <c r="A1171" s="56" t="s">
        <v>1991</v>
      </c>
      <c r="B1171" s="56" t="s">
        <v>3294</v>
      </c>
      <c r="C1171" s="57" t="s">
        <v>177</v>
      </c>
      <c r="D1171" s="56" t="s">
        <v>7</v>
      </c>
      <c r="E1171" s="59" t="s">
        <v>1993</v>
      </c>
      <c r="F1171" s="58"/>
    </row>
    <row r="1172" ht="15" customHeight="1" spans="1:6">
      <c r="A1172" s="56" t="s">
        <v>1991</v>
      </c>
      <c r="B1172" s="56" t="s">
        <v>3295</v>
      </c>
      <c r="C1172" s="57" t="s">
        <v>177</v>
      </c>
      <c r="D1172" s="56" t="s">
        <v>7</v>
      </c>
      <c r="E1172" s="59" t="s">
        <v>1993</v>
      </c>
      <c r="F1172" s="58"/>
    </row>
    <row r="1173" ht="15" customHeight="1" spans="1:6">
      <c r="A1173" s="56" t="s">
        <v>1991</v>
      </c>
      <c r="B1173" s="56" t="s">
        <v>3296</v>
      </c>
      <c r="C1173" s="57" t="s">
        <v>364</v>
      </c>
      <c r="D1173" s="56" t="s">
        <v>7</v>
      </c>
      <c r="E1173" s="59" t="s">
        <v>1993</v>
      </c>
      <c r="F1173" s="58"/>
    </row>
    <row r="1174" ht="15" customHeight="1" spans="1:6">
      <c r="A1174" s="56" t="s">
        <v>1991</v>
      </c>
      <c r="B1174" s="56" t="s">
        <v>3297</v>
      </c>
      <c r="C1174" s="57" t="s">
        <v>364</v>
      </c>
      <c r="D1174" s="56" t="s">
        <v>7</v>
      </c>
      <c r="E1174" s="59" t="s">
        <v>1993</v>
      </c>
      <c r="F1174" s="58"/>
    </row>
    <row r="1175" ht="15" customHeight="1" spans="1:6">
      <c r="A1175" s="56" t="s">
        <v>1991</v>
      </c>
      <c r="B1175" s="56" t="s">
        <v>3298</v>
      </c>
      <c r="C1175" s="57" t="s">
        <v>364</v>
      </c>
      <c r="D1175" s="56" t="s">
        <v>7</v>
      </c>
      <c r="E1175" s="59" t="s">
        <v>1993</v>
      </c>
      <c r="F1175" s="58"/>
    </row>
    <row r="1176" ht="15" customHeight="1" spans="1:6">
      <c r="A1176" s="56" t="s">
        <v>1991</v>
      </c>
      <c r="B1176" s="56" t="s">
        <v>3299</v>
      </c>
      <c r="C1176" s="57" t="s">
        <v>2125</v>
      </c>
      <c r="D1176" s="56" t="s">
        <v>7</v>
      </c>
      <c r="E1176" s="59" t="s">
        <v>1993</v>
      </c>
      <c r="F1176" s="58"/>
    </row>
    <row r="1177" ht="15" customHeight="1" spans="1:6">
      <c r="A1177" s="56" t="s">
        <v>1991</v>
      </c>
      <c r="B1177" s="56" t="s">
        <v>3300</v>
      </c>
      <c r="C1177" s="57" t="s">
        <v>2125</v>
      </c>
      <c r="D1177" s="56" t="s">
        <v>7</v>
      </c>
      <c r="E1177" s="59" t="s">
        <v>1993</v>
      </c>
      <c r="F1177" s="58"/>
    </row>
    <row r="1178" ht="15" customHeight="1" spans="1:6">
      <c r="A1178" s="56" t="s">
        <v>1991</v>
      </c>
      <c r="B1178" s="56" t="s">
        <v>3301</v>
      </c>
      <c r="C1178" s="57" t="s">
        <v>2125</v>
      </c>
      <c r="D1178" s="56" t="s">
        <v>7</v>
      </c>
      <c r="E1178" s="59" t="s">
        <v>1993</v>
      </c>
      <c r="F1178" s="58"/>
    </row>
    <row r="1179" ht="15" customHeight="1" spans="1:6">
      <c r="A1179" s="56" t="s">
        <v>1991</v>
      </c>
      <c r="B1179" s="56" t="s">
        <v>3302</v>
      </c>
      <c r="C1179" s="57" t="s">
        <v>2125</v>
      </c>
      <c r="D1179" s="56" t="s">
        <v>7</v>
      </c>
      <c r="E1179" s="59" t="s">
        <v>1993</v>
      </c>
      <c r="F1179" s="58"/>
    </row>
    <row r="1180" ht="15" customHeight="1" spans="1:6">
      <c r="A1180" s="56" t="s">
        <v>1991</v>
      </c>
      <c r="B1180" s="56" t="s">
        <v>3303</v>
      </c>
      <c r="C1180" s="57" t="s">
        <v>177</v>
      </c>
      <c r="D1180" s="56" t="s">
        <v>7</v>
      </c>
      <c r="E1180" s="59" t="s">
        <v>1993</v>
      </c>
      <c r="F1180" s="58"/>
    </row>
    <row r="1181" ht="15" customHeight="1" spans="1:6">
      <c r="A1181" s="56" t="s">
        <v>1991</v>
      </c>
      <c r="B1181" s="56" t="s">
        <v>3304</v>
      </c>
      <c r="C1181" s="57" t="s">
        <v>2536</v>
      </c>
      <c r="D1181" s="56" t="s">
        <v>7</v>
      </c>
      <c r="E1181" s="59" t="s">
        <v>1993</v>
      </c>
      <c r="F1181" s="58"/>
    </row>
    <row r="1182" ht="15" customHeight="1" spans="1:6">
      <c r="A1182" s="56" t="s">
        <v>1991</v>
      </c>
      <c r="B1182" s="56" t="s">
        <v>3305</v>
      </c>
      <c r="C1182" s="57" t="s">
        <v>2536</v>
      </c>
      <c r="D1182" s="56" t="s">
        <v>7</v>
      </c>
      <c r="E1182" s="59" t="s">
        <v>1993</v>
      </c>
      <c r="F1182" s="58"/>
    </row>
    <row r="1183" ht="15" customHeight="1" spans="1:6">
      <c r="A1183" s="56" t="s">
        <v>1991</v>
      </c>
      <c r="B1183" s="56" t="s">
        <v>3306</v>
      </c>
      <c r="C1183" s="57" t="s">
        <v>2536</v>
      </c>
      <c r="D1183" s="56" t="s">
        <v>7</v>
      </c>
      <c r="E1183" s="59" t="s">
        <v>1993</v>
      </c>
      <c r="F1183" s="58"/>
    </row>
    <row r="1184" ht="15" customHeight="1" spans="1:6">
      <c r="A1184" s="56" t="s">
        <v>1991</v>
      </c>
      <c r="B1184" s="56" t="s">
        <v>3307</v>
      </c>
      <c r="C1184" s="57" t="s">
        <v>2536</v>
      </c>
      <c r="D1184" s="56" t="s">
        <v>7</v>
      </c>
      <c r="E1184" s="59" t="s">
        <v>1993</v>
      </c>
      <c r="F1184" s="58"/>
    </row>
    <row r="1185" ht="15" customHeight="1" spans="1:6">
      <c r="A1185" s="56" t="s">
        <v>1991</v>
      </c>
      <c r="B1185" s="56" t="s">
        <v>3308</v>
      </c>
      <c r="C1185" s="57" t="s">
        <v>2536</v>
      </c>
      <c r="D1185" s="56" t="s">
        <v>7</v>
      </c>
      <c r="E1185" s="59" t="s">
        <v>1993</v>
      </c>
      <c r="F1185" s="58"/>
    </row>
    <row r="1186" ht="15" customHeight="1" spans="1:6">
      <c r="A1186" s="56" t="s">
        <v>1991</v>
      </c>
      <c r="B1186" s="56" t="s">
        <v>3309</v>
      </c>
      <c r="C1186" s="57" t="s">
        <v>2536</v>
      </c>
      <c r="D1186" s="56" t="s">
        <v>7</v>
      </c>
      <c r="E1186" s="59" t="s">
        <v>1993</v>
      </c>
      <c r="F1186" s="58"/>
    </row>
    <row r="1187" ht="15" customHeight="1" spans="1:6">
      <c r="A1187" s="56" t="s">
        <v>1991</v>
      </c>
      <c r="B1187" s="56" t="s">
        <v>3310</v>
      </c>
      <c r="C1187" s="57" t="s">
        <v>2536</v>
      </c>
      <c r="D1187" s="56" t="s">
        <v>7</v>
      </c>
      <c r="E1187" s="59" t="s">
        <v>1993</v>
      </c>
      <c r="F1187" s="58"/>
    </row>
    <row r="1188" ht="15" customHeight="1" spans="1:6">
      <c r="A1188" s="56" t="s">
        <v>1991</v>
      </c>
      <c r="B1188" s="56" t="s">
        <v>3311</v>
      </c>
      <c r="C1188" s="57" t="s">
        <v>2536</v>
      </c>
      <c r="D1188" s="56" t="s">
        <v>7</v>
      </c>
      <c r="E1188" s="59" t="s">
        <v>1993</v>
      </c>
      <c r="F1188" s="58"/>
    </row>
    <row r="1189" ht="15" customHeight="1" spans="1:6">
      <c r="A1189" s="56" t="s">
        <v>1991</v>
      </c>
      <c r="B1189" s="56" t="s">
        <v>3312</v>
      </c>
      <c r="C1189" s="57" t="s">
        <v>2066</v>
      </c>
      <c r="D1189" s="56" t="s">
        <v>7</v>
      </c>
      <c r="E1189" s="59" t="s">
        <v>1993</v>
      </c>
      <c r="F1189" s="58"/>
    </row>
    <row r="1190" ht="15" customHeight="1" spans="1:6">
      <c r="A1190" s="56" t="s">
        <v>1991</v>
      </c>
      <c r="B1190" s="56" t="s">
        <v>3313</v>
      </c>
      <c r="C1190" s="57" t="s">
        <v>2066</v>
      </c>
      <c r="D1190" s="56" t="s">
        <v>7</v>
      </c>
      <c r="E1190" s="59" t="s">
        <v>1993</v>
      </c>
      <c r="F1190" s="58"/>
    </row>
    <row r="1191" ht="15" customHeight="1" spans="1:6">
      <c r="A1191" s="56" t="s">
        <v>1991</v>
      </c>
      <c r="B1191" s="56" t="s">
        <v>3314</v>
      </c>
      <c r="C1191" s="57" t="s">
        <v>2066</v>
      </c>
      <c r="D1191" s="56" t="s">
        <v>7</v>
      </c>
      <c r="E1191" s="59" t="s">
        <v>1993</v>
      </c>
      <c r="F1191" s="58"/>
    </row>
    <row r="1192" ht="15" customHeight="1" spans="1:6">
      <c r="A1192" s="56" t="s">
        <v>1991</v>
      </c>
      <c r="B1192" s="56" t="s">
        <v>3315</v>
      </c>
      <c r="C1192" s="57" t="s">
        <v>3210</v>
      </c>
      <c r="D1192" s="56" t="s">
        <v>7</v>
      </c>
      <c r="E1192" s="59" t="s">
        <v>1993</v>
      </c>
      <c r="F1192" s="58"/>
    </row>
    <row r="1193" s="49" customFormat="1" spans="1:6">
      <c r="A1193" s="56" t="s">
        <v>1991</v>
      </c>
      <c r="B1193" s="60" t="s">
        <v>3316</v>
      </c>
      <c r="C1193" s="61" t="s">
        <v>3317</v>
      </c>
      <c r="D1193" s="60" t="s">
        <v>7</v>
      </c>
      <c r="E1193" s="59" t="s">
        <v>1993</v>
      </c>
      <c r="F1193" s="62"/>
    </row>
    <row r="1194" s="49" customFormat="1" spans="1:6">
      <c r="A1194" s="56" t="s">
        <v>1991</v>
      </c>
      <c r="B1194" s="60" t="s">
        <v>3318</v>
      </c>
      <c r="C1194" s="61" t="s">
        <v>96</v>
      </c>
      <c r="D1194" s="60" t="s">
        <v>7</v>
      </c>
      <c r="E1194" s="59" t="s">
        <v>1993</v>
      </c>
      <c r="F1194" s="62"/>
    </row>
    <row r="1195" s="49" customFormat="1" ht="27" spans="1:6">
      <c r="A1195" s="56" t="s">
        <v>1991</v>
      </c>
      <c r="B1195" s="60" t="s">
        <v>3319</v>
      </c>
      <c r="C1195" s="61" t="s">
        <v>3320</v>
      </c>
      <c r="D1195" s="60" t="s">
        <v>7</v>
      </c>
      <c r="E1195" s="59" t="s">
        <v>1993</v>
      </c>
      <c r="F1195" s="63" t="s">
        <v>3321</v>
      </c>
    </row>
    <row r="1196" s="49" customFormat="1" ht="27" spans="1:6">
      <c r="A1196" s="56" t="s">
        <v>1991</v>
      </c>
      <c r="B1196" s="60" t="s">
        <v>3322</v>
      </c>
      <c r="C1196" s="61" t="s">
        <v>3320</v>
      </c>
      <c r="D1196" s="60" t="s">
        <v>7</v>
      </c>
      <c r="E1196" s="59" t="s">
        <v>1993</v>
      </c>
      <c r="F1196" s="63" t="s">
        <v>3321</v>
      </c>
    </row>
    <row r="1197" s="49" customFormat="1" ht="27" spans="1:6">
      <c r="A1197" s="56" t="s">
        <v>1991</v>
      </c>
      <c r="B1197" s="60" t="s">
        <v>3323</v>
      </c>
      <c r="C1197" s="61" t="s">
        <v>3320</v>
      </c>
      <c r="D1197" s="60" t="s">
        <v>7</v>
      </c>
      <c r="E1197" s="59" t="s">
        <v>1993</v>
      </c>
      <c r="F1197" s="63" t="s">
        <v>3321</v>
      </c>
    </row>
    <row r="1198" s="49" customFormat="1" ht="27" spans="1:6">
      <c r="A1198" s="56" t="s">
        <v>1991</v>
      </c>
      <c r="B1198" s="60" t="s">
        <v>3324</v>
      </c>
      <c r="C1198" s="61" t="s">
        <v>3320</v>
      </c>
      <c r="D1198" s="60" t="s">
        <v>7</v>
      </c>
      <c r="E1198" s="59" t="s">
        <v>1993</v>
      </c>
      <c r="F1198" s="63" t="s">
        <v>3321</v>
      </c>
    </row>
    <row r="1199" s="49" customFormat="1" ht="27" spans="1:6">
      <c r="A1199" s="56" t="s">
        <v>1991</v>
      </c>
      <c r="B1199" s="60" t="s">
        <v>3325</v>
      </c>
      <c r="C1199" s="61" t="s">
        <v>3320</v>
      </c>
      <c r="D1199" s="60" t="s">
        <v>7</v>
      </c>
      <c r="E1199" s="59" t="s">
        <v>1993</v>
      </c>
      <c r="F1199" s="63" t="s">
        <v>3321</v>
      </c>
    </row>
    <row r="1200" s="49" customFormat="1" ht="27" spans="1:6">
      <c r="A1200" s="56" t="s">
        <v>1991</v>
      </c>
      <c r="B1200" s="60" t="s">
        <v>3326</v>
      </c>
      <c r="C1200" s="61" t="s">
        <v>3320</v>
      </c>
      <c r="D1200" s="60" t="s">
        <v>7</v>
      </c>
      <c r="E1200" s="59" t="s">
        <v>1993</v>
      </c>
      <c r="F1200" s="63" t="s">
        <v>3321</v>
      </c>
    </row>
    <row r="1201" s="49" customFormat="1" ht="27" spans="1:6">
      <c r="A1201" s="56" t="s">
        <v>1991</v>
      </c>
      <c r="B1201" s="60" t="s">
        <v>3327</v>
      </c>
      <c r="C1201" s="61" t="s">
        <v>3320</v>
      </c>
      <c r="D1201" s="60" t="s">
        <v>7</v>
      </c>
      <c r="E1201" s="59" t="s">
        <v>1993</v>
      </c>
      <c r="F1201" s="63" t="s">
        <v>3321</v>
      </c>
    </row>
    <row r="1202" s="49" customFormat="1" spans="1:6">
      <c r="A1202" s="56" t="s">
        <v>1991</v>
      </c>
      <c r="B1202" s="60" t="s">
        <v>3328</v>
      </c>
      <c r="C1202" s="61" t="s">
        <v>96</v>
      </c>
      <c r="D1202" s="60" t="s">
        <v>7</v>
      </c>
      <c r="E1202" s="59" t="s">
        <v>1993</v>
      </c>
      <c r="F1202" s="62"/>
    </row>
    <row r="1203" s="49" customFormat="1" spans="1:6">
      <c r="A1203" s="56" t="s">
        <v>1991</v>
      </c>
      <c r="B1203" s="60" t="s">
        <v>3329</v>
      </c>
      <c r="C1203" s="61" t="s">
        <v>96</v>
      </c>
      <c r="D1203" s="60" t="s">
        <v>7</v>
      </c>
      <c r="E1203" s="59" t="s">
        <v>1993</v>
      </c>
      <c r="F1203" s="62"/>
    </row>
    <row r="1204" s="49" customFormat="1" spans="1:6">
      <c r="A1204" s="56" t="s">
        <v>1991</v>
      </c>
      <c r="B1204" s="60" t="s">
        <v>3330</v>
      </c>
      <c r="C1204" s="61" t="s">
        <v>49</v>
      </c>
      <c r="D1204" s="60" t="s">
        <v>7</v>
      </c>
      <c r="E1204" s="59" t="s">
        <v>1993</v>
      </c>
      <c r="F1204" s="62"/>
    </row>
    <row r="1205" s="49" customFormat="1" spans="1:6">
      <c r="A1205" s="56" t="s">
        <v>1991</v>
      </c>
      <c r="B1205" s="60" t="s">
        <v>3331</v>
      </c>
      <c r="C1205" s="61" t="s">
        <v>811</v>
      </c>
      <c r="D1205" s="60" t="s">
        <v>7</v>
      </c>
      <c r="E1205" s="59" t="s">
        <v>1993</v>
      </c>
      <c r="F1205" s="62"/>
    </row>
    <row r="1206" s="49" customFormat="1" spans="1:6">
      <c r="A1206" s="56" t="s">
        <v>1991</v>
      </c>
      <c r="B1206" s="60" t="s">
        <v>3332</v>
      </c>
      <c r="C1206" s="61" t="s">
        <v>2203</v>
      </c>
      <c r="D1206" s="60" t="s">
        <v>7</v>
      </c>
      <c r="E1206" s="59" t="s">
        <v>1993</v>
      </c>
      <c r="F1206" s="62"/>
    </row>
    <row r="1207" s="49" customFormat="1" spans="1:6">
      <c r="A1207" s="56" t="s">
        <v>1991</v>
      </c>
      <c r="B1207" s="60" t="s">
        <v>3333</v>
      </c>
      <c r="C1207" s="61" t="s">
        <v>96</v>
      </c>
      <c r="D1207" s="60" t="s">
        <v>7</v>
      </c>
      <c r="E1207" s="59" t="s">
        <v>1993</v>
      </c>
      <c r="F1207" s="62"/>
    </row>
    <row r="1208" s="49" customFormat="1" spans="1:6">
      <c r="A1208" s="56" t="s">
        <v>1991</v>
      </c>
      <c r="B1208" s="60" t="s">
        <v>3334</v>
      </c>
      <c r="C1208" s="61" t="s">
        <v>49</v>
      </c>
      <c r="D1208" s="60" t="s">
        <v>7</v>
      </c>
      <c r="E1208" s="59" t="s">
        <v>1993</v>
      </c>
      <c r="F1208" s="62"/>
    </row>
    <row r="1209" s="49" customFormat="1" spans="1:6">
      <c r="A1209" s="56" t="s">
        <v>1991</v>
      </c>
      <c r="B1209" s="60" t="s">
        <v>3335</v>
      </c>
      <c r="C1209" s="61" t="s">
        <v>1145</v>
      </c>
      <c r="D1209" s="60" t="s">
        <v>7</v>
      </c>
      <c r="E1209" s="59" t="s">
        <v>1993</v>
      </c>
      <c r="F1209" s="62"/>
    </row>
    <row r="1210" s="49" customFormat="1" spans="1:6">
      <c r="A1210" s="56" t="s">
        <v>1991</v>
      </c>
      <c r="B1210" s="60" t="s">
        <v>3336</v>
      </c>
      <c r="C1210" s="61" t="s">
        <v>49</v>
      </c>
      <c r="D1210" s="60" t="s">
        <v>7</v>
      </c>
      <c r="E1210" s="59" t="s">
        <v>1993</v>
      </c>
      <c r="F1210" s="62"/>
    </row>
    <row r="1211" s="49" customFormat="1" spans="1:6">
      <c r="A1211" s="56" t="s">
        <v>1991</v>
      </c>
      <c r="B1211" s="60" t="s">
        <v>3337</v>
      </c>
      <c r="C1211" s="61" t="s">
        <v>96</v>
      </c>
      <c r="D1211" s="60" t="s">
        <v>7</v>
      </c>
      <c r="E1211" s="59" t="s">
        <v>1993</v>
      </c>
      <c r="F1211" s="62"/>
    </row>
    <row r="1212" s="49" customFormat="1" spans="1:6">
      <c r="A1212" s="56" t="s">
        <v>1991</v>
      </c>
      <c r="B1212" s="60" t="s">
        <v>3338</v>
      </c>
      <c r="C1212" s="61" t="s">
        <v>96</v>
      </c>
      <c r="D1212" s="60" t="s">
        <v>7</v>
      </c>
      <c r="E1212" s="59" t="s">
        <v>1993</v>
      </c>
      <c r="F1212" s="62"/>
    </row>
    <row r="1213" s="49" customFormat="1" spans="1:6">
      <c r="A1213" s="56" t="s">
        <v>1991</v>
      </c>
      <c r="B1213" s="60" t="s">
        <v>3339</v>
      </c>
      <c r="C1213" s="61" t="s">
        <v>96</v>
      </c>
      <c r="D1213" s="60" t="s">
        <v>7</v>
      </c>
      <c r="E1213" s="59" t="s">
        <v>1993</v>
      </c>
      <c r="F1213" s="62"/>
    </row>
    <row r="1214" s="49" customFormat="1" spans="1:6">
      <c r="A1214" s="56" t="s">
        <v>1991</v>
      </c>
      <c r="B1214" s="60" t="s">
        <v>3340</v>
      </c>
      <c r="C1214" s="61" t="s">
        <v>96</v>
      </c>
      <c r="D1214" s="60" t="s">
        <v>7</v>
      </c>
      <c r="E1214" s="59" t="s">
        <v>1993</v>
      </c>
      <c r="F1214" s="62"/>
    </row>
    <row r="1215" s="49" customFormat="1" spans="1:6">
      <c r="A1215" s="56" t="s">
        <v>1991</v>
      </c>
      <c r="B1215" s="60" t="s">
        <v>3341</v>
      </c>
      <c r="C1215" s="61" t="s">
        <v>3320</v>
      </c>
      <c r="D1215" s="60" t="s">
        <v>7</v>
      </c>
      <c r="E1215" s="59" t="s">
        <v>1993</v>
      </c>
      <c r="F1215" s="62"/>
    </row>
    <row r="1216" s="49" customFormat="1" spans="1:6">
      <c r="A1216" s="56" t="s">
        <v>1991</v>
      </c>
      <c r="B1216" s="60" t="s">
        <v>3342</v>
      </c>
      <c r="C1216" s="61" t="s">
        <v>2427</v>
      </c>
      <c r="D1216" s="60" t="s">
        <v>7</v>
      </c>
      <c r="E1216" s="59" t="s">
        <v>1993</v>
      </c>
      <c r="F1216" s="62"/>
    </row>
    <row r="1217" s="49" customFormat="1" spans="1:6">
      <c r="A1217" s="56" t="s">
        <v>1991</v>
      </c>
      <c r="B1217" s="60" t="s">
        <v>3343</v>
      </c>
      <c r="C1217" s="61" t="s">
        <v>3135</v>
      </c>
      <c r="D1217" s="60" t="s">
        <v>7</v>
      </c>
      <c r="E1217" s="59" t="s">
        <v>1993</v>
      </c>
      <c r="F1217" s="62"/>
    </row>
    <row r="1218" s="49" customFormat="1" spans="1:6">
      <c r="A1218" s="56" t="s">
        <v>1991</v>
      </c>
      <c r="B1218" s="60" t="s">
        <v>3344</v>
      </c>
      <c r="C1218" s="61" t="s">
        <v>1140</v>
      </c>
      <c r="D1218" s="60" t="s">
        <v>7</v>
      </c>
      <c r="E1218" s="59" t="s">
        <v>1993</v>
      </c>
      <c r="F1218" s="62"/>
    </row>
    <row r="1219" s="49" customFormat="1" spans="1:6">
      <c r="A1219" s="56" t="s">
        <v>1991</v>
      </c>
      <c r="B1219" s="60" t="s">
        <v>3345</v>
      </c>
      <c r="C1219" s="61" t="s">
        <v>1143</v>
      </c>
      <c r="D1219" s="60" t="s">
        <v>7</v>
      </c>
      <c r="E1219" s="59" t="s">
        <v>1993</v>
      </c>
      <c r="F1219" s="62"/>
    </row>
    <row r="1220" s="49" customFormat="1" spans="1:6">
      <c r="A1220" s="56" t="s">
        <v>1991</v>
      </c>
      <c r="B1220" s="60" t="s">
        <v>3346</v>
      </c>
      <c r="C1220" s="61" t="s">
        <v>2427</v>
      </c>
      <c r="D1220" s="60" t="s">
        <v>7</v>
      </c>
      <c r="E1220" s="59" t="s">
        <v>1993</v>
      </c>
      <c r="F1220" s="62"/>
    </row>
    <row r="1221" s="49" customFormat="1" spans="1:6">
      <c r="A1221" s="56" t="s">
        <v>1991</v>
      </c>
      <c r="B1221" s="60" t="s">
        <v>3347</v>
      </c>
      <c r="C1221" s="61" t="s">
        <v>1145</v>
      </c>
      <c r="D1221" s="60" t="s">
        <v>7</v>
      </c>
      <c r="E1221" s="59" t="s">
        <v>1993</v>
      </c>
      <c r="F1221" s="62"/>
    </row>
    <row r="1222" s="49" customFormat="1" spans="1:6">
      <c r="A1222" s="56" t="s">
        <v>1991</v>
      </c>
      <c r="B1222" s="60" t="s">
        <v>3348</v>
      </c>
      <c r="C1222" s="61" t="s">
        <v>1140</v>
      </c>
      <c r="D1222" s="60" t="s">
        <v>7</v>
      </c>
      <c r="E1222" s="59" t="s">
        <v>1993</v>
      </c>
      <c r="F1222" s="62"/>
    </row>
    <row r="1223" s="49" customFormat="1" spans="1:6">
      <c r="A1223" s="56" t="s">
        <v>1991</v>
      </c>
      <c r="B1223" s="60" t="s">
        <v>3349</v>
      </c>
      <c r="C1223" s="61" t="s">
        <v>2012</v>
      </c>
      <c r="D1223" s="60" t="s">
        <v>7</v>
      </c>
      <c r="E1223" s="59" t="s">
        <v>1993</v>
      </c>
      <c r="F1223" s="62"/>
    </row>
    <row r="1224" s="49" customFormat="1" spans="1:6">
      <c r="A1224" s="56" t="s">
        <v>1991</v>
      </c>
      <c r="B1224" s="60" t="s">
        <v>3350</v>
      </c>
      <c r="C1224" s="61" t="s">
        <v>800</v>
      </c>
      <c r="D1224" s="60" t="s">
        <v>7</v>
      </c>
      <c r="E1224" s="59" t="s">
        <v>1993</v>
      </c>
      <c r="F1224" s="62"/>
    </row>
    <row r="1225" s="49" customFormat="1" spans="1:6">
      <c r="A1225" s="56" t="s">
        <v>1991</v>
      </c>
      <c r="B1225" s="60" t="s">
        <v>3351</v>
      </c>
      <c r="C1225" s="61" t="s">
        <v>800</v>
      </c>
      <c r="D1225" s="60" t="s">
        <v>7</v>
      </c>
      <c r="E1225" s="59" t="s">
        <v>1993</v>
      </c>
      <c r="F1225" s="62"/>
    </row>
    <row r="1226" s="49" customFormat="1" spans="1:6">
      <c r="A1226" s="56" t="s">
        <v>1991</v>
      </c>
      <c r="B1226" s="60" t="s">
        <v>3352</v>
      </c>
      <c r="C1226" s="61" t="s">
        <v>96</v>
      </c>
      <c r="D1226" s="60" t="s">
        <v>7</v>
      </c>
      <c r="E1226" s="59" t="s">
        <v>1993</v>
      </c>
      <c r="F1226" s="62"/>
    </row>
    <row r="1227" s="49" customFormat="1" spans="1:6">
      <c r="A1227" s="56" t="s">
        <v>1991</v>
      </c>
      <c r="B1227" s="60" t="s">
        <v>3353</v>
      </c>
      <c r="C1227" s="61" t="s">
        <v>96</v>
      </c>
      <c r="D1227" s="60" t="s">
        <v>7</v>
      </c>
      <c r="E1227" s="59" t="s">
        <v>1993</v>
      </c>
      <c r="F1227" s="62"/>
    </row>
    <row r="1228" s="49" customFormat="1" spans="1:6">
      <c r="A1228" s="56" t="s">
        <v>1991</v>
      </c>
      <c r="B1228" s="60" t="s">
        <v>3354</v>
      </c>
      <c r="C1228" s="61" t="s">
        <v>3355</v>
      </c>
      <c r="D1228" s="60" t="s">
        <v>7</v>
      </c>
      <c r="E1228" s="59" t="s">
        <v>1993</v>
      </c>
      <c r="F1228" s="62"/>
    </row>
    <row r="1229" s="49" customFormat="1" spans="1:6">
      <c r="A1229" s="56" t="s">
        <v>1991</v>
      </c>
      <c r="B1229" s="60" t="s">
        <v>3356</v>
      </c>
      <c r="C1229" s="61" t="s">
        <v>2592</v>
      </c>
      <c r="D1229" s="60" t="s">
        <v>7</v>
      </c>
      <c r="E1229" s="59" t="s">
        <v>1993</v>
      </c>
      <c r="F1229" s="62"/>
    </row>
    <row r="1230" s="49" customFormat="1" spans="1:6">
      <c r="A1230" s="56" t="s">
        <v>1991</v>
      </c>
      <c r="B1230" s="60" t="s">
        <v>3357</v>
      </c>
      <c r="C1230" s="61" t="s">
        <v>2697</v>
      </c>
      <c r="D1230" s="60" t="s">
        <v>7</v>
      </c>
      <c r="E1230" s="59" t="s">
        <v>1993</v>
      </c>
      <c r="F1230" s="62"/>
    </row>
    <row r="1231" s="49" customFormat="1" spans="1:6">
      <c r="A1231" s="56" t="s">
        <v>1991</v>
      </c>
      <c r="B1231" s="60" t="s">
        <v>3358</v>
      </c>
      <c r="C1231" s="61" t="s">
        <v>96</v>
      </c>
      <c r="D1231" s="60" t="s">
        <v>7</v>
      </c>
      <c r="E1231" s="59" t="s">
        <v>1993</v>
      </c>
      <c r="F1231" s="62"/>
    </row>
    <row r="1232" s="49" customFormat="1" spans="1:6">
      <c r="A1232" s="56" t="s">
        <v>1991</v>
      </c>
      <c r="B1232" s="60" t="s">
        <v>3359</v>
      </c>
      <c r="C1232" s="61" t="s">
        <v>3360</v>
      </c>
      <c r="D1232" s="60" t="s">
        <v>7</v>
      </c>
      <c r="E1232" s="59" t="s">
        <v>1993</v>
      </c>
      <c r="F1232" s="62"/>
    </row>
    <row r="1233" s="49" customFormat="1" spans="1:6">
      <c r="A1233" s="56" t="s">
        <v>1991</v>
      </c>
      <c r="B1233" s="60" t="s">
        <v>3361</v>
      </c>
      <c r="C1233" s="61" t="s">
        <v>3360</v>
      </c>
      <c r="D1233" s="60" t="s">
        <v>7</v>
      </c>
      <c r="E1233" s="59" t="s">
        <v>1993</v>
      </c>
      <c r="F1233" s="62"/>
    </row>
    <row r="1234" s="49" customFormat="1" spans="1:6">
      <c r="A1234" s="56" t="s">
        <v>1991</v>
      </c>
      <c r="B1234" s="60" t="s">
        <v>3362</v>
      </c>
      <c r="C1234" s="61" t="s">
        <v>96</v>
      </c>
      <c r="D1234" s="60" t="s">
        <v>7</v>
      </c>
      <c r="E1234" s="59" t="s">
        <v>1993</v>
      </c>
      <c r="F1234" s="62"/>
    </row>
    <row r="1235" s="49" customFormat="1" spans="1:6">
      <c r="A1235" s="56" t="s">
        <v>1991</v>
      </c>
      <c r="B1235" s="60" t="s">
        <v>3363</v>
      </c>
      <c r="C1235" s="61" t="s">
        <v>1944</v>
      </c>
      <c r="D1235" s="60" t="s">
        <v>7</v>
      </c>
      <c r="E1235" s="59" t="s">
        <v>1993</v>
      </c>
      <c r="F1235" s="62"/>
    </row>
    <row r="1236" s="49" customFormat="1" spans="1:6">
      <c r="A1236" s="56" t="s">
        <v>1991</v>
      </c>
      <c r="B1236" s="60" t="s">
        <v>3364</v>
      </c>
      <c r="C1236" s="61" t="s">
        <v>96</v>
      </c>
      <c r="D1236" s="60" t="s">
        <v>7</v>
      </c>
      <c r="E1236" s="59" t="s">
        <v>1993</v>
      </c>
      <c r="F1236" s="62"/>
    </row>
    <row r="1237" s="49" customFormat="1" spans="1:6">
      <c r="A1237" s="56" t="s">
        <v>1991</v>
      </c>
      <c r="B1237" s="60" t="s">
        <v>3365</v>
      </c>
      <c r="C1237" s="61" t="s">
        <v>96</v>
      </c>
      <c r="D1237" s="60" t="s">
        <v>7</v>
      </c>
      <c r="E1237" s="59" t="s">
        <v>1993</v>
      </c>
      <c r="F1237" s="62"/>
    </row>
    <row r="1238" s="49" customFormat="1" spans="1:6">
      <c r="A1238" s="56" t="s">
        <v>1991</v>
      </c>
      <c r="B1238" s="60" t="s">
        <v>3366</v>
      </c>
      <c r="C1238" s="61" t="s">
        <v>96</v>
      </c>
      <c r="D1238" s="60" t="s">
        <v>7</v>
      </c>
      <c r="E1238" s="59" t="s">
        <v>1993</v>
      </c>
      <c r="F1238" s="62"/>
    </row>
    <row r="1239" s="49" customFormat="1" spans="1:6">
      <c r="A1239" s="56" t="s">
        <v>1991</v>
      </c>
      <c r="B1239" s="60" t="s">
        <v>3367</v>
      </c>
      <c r="C1239" s="61" t="s">
        <v>96</v>
      </c>
      <c r="D1239" s="60" t="s">
        <v>7</v>
      </c>
      <c r="E1239" s="59" t="s">
        <v>1993</v>
      </c>
      <c r="F1239" s="62"/>
    </row>
    <row r="1240" s="49" customFormat="1" spans="1:6">
      <c r="A1240" s="56" t="s">
        <v>1991</v>
      </c>
      <c r="B1240" s="60" t="s">
        <v>3368</v>
      </c>
      <c r="C1240" s="61" t="s">
        <v>96</v>
      </c>
      <c r="D1240" s="60" t="s">
        <v>7</v>
      </c>
      <c r="E1240" s="59" t="s">
        <v>1993</v>
      </c>
      <c r="F1240" s="62"/>
    </row>
    <row r="1241" s="49" customFormat="1" spans="1:6">
      <c r="A1241" s="56" t="s">
        <v>1991</v>
      </c>
      <c r="B1241" s="60" t="s">
        <v>3369</v>
      </c>
      <c r="C1241" s="61" t="s">
        <v>96</v>
      </c>
      <c r="D1241" s="60" t="s">
        <v>7</v>
      </c>
      <c r="E1241" s="59" t="s">
        <v>1993</v>
      </c>
      <c r="F1241" s="62"/>
    </row>
    <row r="1242" s="49" customFormat="1" spans="1:6">
      <c r="A1242" s="56" t="s">
        <v>1991</v>
      </c>
      <c r="B1242" s="60" t="s">
        <v>3370</v>
      </c>
      <c r="C1242" s="61" t="s">
        <v>96</v>
      </c>
      <c r="D1242" s="60" t="s">
        <v>7</v>
      </c>
      <c r="E1242" s="59" t="s">
        <v>1993</v>
      </c>
      <c r="F1242" s="62"/>
    </row>
    <row r="1243" s="49" customFormat="1" spans="1:6">
      <c r="A1243" s="56" t="s">
        <v>1991</v>
      </c>
      <c r="B1243" s="60" t="s">
        <v>3371</v>
      </c>
      <c r="C1243" s="61" t="s">
        <v>2203</v>
      </c>
      <c r="D1243" s="60" t="s">
        <v>7</v>
      </c>
      <c r="E1243" s="59" t="s">
        <v>1993</v>
      </c>
      <c r="F1243" s="62"/>
    </row>
    <row r="1244" s="49" customFormat="1" spans="1:6">
      <c r="A1244" s="56" t="s">
        <v>1991</v>
      </c>
      <c r="B1244" s="60" t="s">
        <v>3372</v>
      </c>
      <c r="C1244" s="61" t="s">
        <v>2203</v>
      </c>
      <c r="D1244" s="60" t="s">
        <v>7</v>
      </c>
      <c r="E1244" s="59" t="s">
        <v>1993</v>
      </c>
      <c r="F1244" s="62"/>
    </row>
    <row r="1245" s="49" customFormat="1" spans="1:6">
      <c r="A1245" s="56" t="s">
        <v>1991</v>
      </c>
      <c r="B1245" s="60" t="s">
        <v>3373</v>
      </c>
      <c r="C1245" s="61" t="s">
        <v>2203</v>
      </c>
      <c r="D1245" s="60" t="s">
        <v>7</v>
      </c>
      <c r="E1245" s="59" t="s">
        <v>1993</v>
      </c>
      <c r="F1245" s="62"/>
    </row>
    <row r="1246" s="49" customFormat="1" spans="1:6">
      <c r="A1246" s="56" t="s">
        <v>1991</v>
      </c>
      <c r="B1246" s="60" t="s">
        <v>3374</v>
      </c>
      <c r="C1246" s="61" t="s">
        <v>3375</v>
      </c>
      <c r="D1246" s="60" t="s">
        <v>7</v>
      </c>
      <c r="E1246" s="59" t="s">
        <v>1993</v>
      </c>
      <c r="F1246" s="62"/>
    </row>
    <row r="1247" s="49" customFormat="1" spans="1:6">
      <c r="A1247" s="56" t="s">
        <v>1991</v>
      </c>
      <c r="B1247" s="60" t="s">
        <v>3376</v>
      </c>
      <c r="C1247" s="61" t="s">
        <v>2217</v>
      </c>
      <c r="D1247" s="60" t="s">
        <v>7</v>
      </c>
      <c r="E1247" s="59" t="s">
        <v>1993</v>
      </c>
      <c r="F1247" s="62"/>
    </row>
    <row r="1248" s="49" customFormat="1" spans="1:6">
      <c r="A1248" s="56" t="s">
        <v>1991</v>
      </c>
      <c r="B1248" s="60" t="s">
        <v>3377</v>
      </c>
      <c r="C1248" s="61" t="s">
        <v>2217</v>
      </c>
      <c r="D1248" s="60" t="s">
        <v>7</v>
      </c>
      <c r="E1248" s="59" t="s">
        <v>1993</v>
      </c>
      <c r="F1248" s="62"/>
    </row>
    <row r="1249" s="49" customFormat="1" spans="1:6">
      <c r="A1249" s="56" t="s">
        <v>1991</v>
      </c>
      <c r="B1249" s="60" t="s">
        <v>3378</v>
      </c>
      <c r="C1249" s="61" t="s">
        <v>3379</v>
      </c>
      <c r="D1249" s="60" t="s">
        <v>7</v>
      </c>
      <c r="E1249" s="59" t="s">
        <v>1993</v>
      </c>
      <c r="F1249" s="62"/>
    </row>
    <row r="1250" s="49" customFormat="1" spans="1:6">
      <c r="A1250" s="56" t="s">
        <v>1991</v>
      </c>
      <c r="B1250" s="60" t="s">
        <v>3380</v>
      </c>
      <c r="C1250" s="61" t="s">
        <v>3379</v>
      </c>
      <c r="D1250" s="60" t="s">
        <v>7</v>
      </c>
      <c r="E1250" s="59" t="s">
        <v>1993</v>
      </c>
      <c r="F1250" s="62"/>
    </row>
    <row r="1251" s="49" customFormat="1" spans="1:6">
      <c r="A1251" s="56" t="s">
        <v>1991</v>
      </c>
      <c r="B1251" s="60" t="s">
        <v>3381</v>
      </c>
      <c r="C1251" s="61" t="s">
        <v>3379</v>
      </c>
      <c r="D1251" s="60" t="s">
        <v>7</v>
      </c>
      <c r="E1251" s="59" t="s">
        <v>1993</v>
      </c>
      <c r="F1251" s="62"/>
    </row>
    <row r="1252" s="49" customFormat="1" spans="1:6">
      <c r="A1252" s="56" t="s">
        <v>1991</v>
      </c>
      <c r="B1252" s="60" t="s">
        <v>3382</v>
      </c>
      <c r="C1252" s="61" t="s">
        <v>3379</v>
      </c>
      <c r="D1252" s="60" t="s">
        <v>7</v>
      </c>
      <c r="E1252" s="59" t="s">
        <v>1993</v>
      </c>
      <c r="F1252" s="62"/>
    </row>
    <row r="1253" s="49" customFormat="1" spans="1:6">
      <c r="A1253" s="56" t="s">
        <v>1991</v>
      </c>
      <c r="B1253" s="60" t="s">
        <v>3383</v>
      </c>
      <c r="C1253" s="61" t="s">
        <v>3384</v>
      </c>
      <c r="D1253" s="60" t="s">
        <v>7</v>
      </c>
      <c r="E1253" s="59" t="s">
        <v>1993</v>
      </c>
      <c r="F1253" s="62"/>
    </row>
    <row r="1254" s="49" customFormat="1" spans="1:6">
      <c r="A1254" s="56" t="s">
        <v>1991</v>
      </c>
      <c r="B1254" s="60" t="s">
        <v>3385</v>
      </c>
      <c r="C1254" s="61" t="s">
        <v>3384</v>
      </c>
      <c r="D1254" s="60" t="s">
        <v>7</v>
      </c>
      <c r="E1254" s="59" t="s">
        <v>1993</v>
      </c>
      <c r="F1254" s="62"/>
    </row>
    <row r="1255" s="49" customFormat="1" spans="1:6">
      <c r="A1255" s="56" t="s">
        <v>1991</v>
      </c>
      <c r="B1255" s="60" t="s">
        <v>3386</v>
      </c>
      <c r="C1255" s="61" t="s">
        <v>3384</v>
      </c>
      <c r="D1255" s="60" t="s">
        <v>7</v>
      </c>
      <c r="E1255" s="59" t="s">
        <v>1993</v>
      </c>
      <c r="F1255" s="62"/>
    </row>
    <row r="1256" s="49" customFormat="1" spans="1:6">
      <c r="A1256" s="56" t="s">
        <v>1991</v>
      </c>
      <c r="B1256" s="60" t="s">
        <v>3387</v>
      </c>
      <c r="C1256" s="61" t="s">
        <v>3384</v>
      </c>
      <c r="D1256" s="60" t="s">
        <v>7</v>
      </c>
      <c r="E1256" s="59" t="s">
        <v>1993</v>
      </c>
      <c r="F1256" s="62"/>
    </row>
    <row r="1257" s="49" customFormat="1" spans="1:6">
      <c r="A1257" s="56" t="s">
        <v>1991</v>
      </c>
      <c r="B1257" s="60" t="s">
        <v>3388</v>
      </c>
      <c r="C1257" s="61" t="s">
        <v>3389</v>
      </c>
      <c r="D1257" s="60" t="s">
        <v>7</v>
      </c>
      <c r="E1257" s="59" t="s">
        <v>1993</v>
      </c>
      <c r="F1257" s="62"/>
    </row>
    <row r="1258" s="49" customFormat="1" spans="1:6">
      <c r="A1258" s="56" t="s">
        <v>1991</v>
      </c>
      <c r="B1258" s="60" t="s">
        <v>3390</v>
      </c>
      <c r="C1258" s="61" t="s">
        <v>3391</v>
      </c>
      <c r="D1258" s="60" t="s">
        <v>7</v>
      </c>
      <c r="E1258" s="59" t="s">
        <v>1993</v>
      </c>
      <c r="F1258" s="62"/>
    </row>
    <row r="1259" s="49" customFormat="1" spans="1:6">
      <c r="A1259" s="56" t="s">
        <v>1991</v>
      </c>
      <c r="B1259" s="60" t="s">
        <v>3392</v>
      </c>
      <c r="C1259" s="61" t="s">
        <v>3391</v>
      </c>
      <c r="D1259" s="60" t="s">
        <v>7</v>
      </c>
      <c r="E1259" s="59" t="s">
        <v>1993</v>
      </c>
      <c r="F1259" s="62"/>
    </row>
    <row r="1260" s="49" customFormat="1" spans="1:6">
      <c r="A1260" s="56" t="s">
        <v>1991</v>
      </c>
      <c r="B1260" s="60" t="s">
        <v>3393</v>
      </c>
      <c r="C1260" s="61" t="s">
        <v>3394</v>
      </c>
      <c r="D1260" s="60" t="s">
        <v>7</v>
      </c>
      <c r="E1260" s="59" t="s">
        <v>1993</v>
      </c>
      <c r="F1260" s="62"/>
    </row>
    <row r="1261" s="49" customFormat="1" spans="1:6">
      <c r="A1261" s="56" t="s">
        <v>1991</v>
      </c>
      <c r="B1261" s="60" t="s">
        <v>3395</v>
      </c>
      <c r="C1261" s="61" t="s">
        <v>3394</v>
      </c>
      <c r="D1261" s="60" t="s">
        <v>7</v>
      </c>
      <c r="E1261" s="59" t="s">
        <v>1993</v>
      </c>
      <c r="F1261" s="62"/>
    </row>
    <row r="1262" s="49" customFormat="1" spans="1:6">
      <c r="A1262" s="56" t="s">
        <v>1991</v>
      </c>
      <c r="B1262" s="60" t="s">
        <v>3396</v>
      </c>
      <c r="C1262" s="61" t="s">
        <v>3397</v>
      </c>
      <c r="D1262" s="60" t="s">
        <v>7</v>
      </c>
      <c r="E1262" s="59" t="s">
        <v>1993</v>
      </c>
      <c r="F1262" s="62"/>
    </row>
    <row r="1263" s="49" customFormat="1" spans="1:6">
      <c r="A1263" s="56" t="s">
        <v>1991</v>
      </c>
      <c r="B1263" s="60" t="s">
        <v>3398</v>
      </c>
      <c r="C1263" s="61" t="s">
        <v>3399</v>
      </c>
      <c r="D1263" s="60" t="s">
        <v>7</v>
      </c>
      <c r="E1263" s="59" t="s">
        <v>1993</v>
      </c>
      <c r="F1263" s="62"/>
    </row>
    <row r="1264" s="49" customFormat="1" spans="1:6">
      <c r="A1264" s="56" t="s">
        <v>1991</v>
      </c>
      <c r="B1264" s="60" t="s">
        <v>3400</v>
      </c>
      <c r="C1264" s="61" t="s">
        <v>3401</v>
      </c>
      <c r="D1264" s="60" t="s">
        <v>7</v>
      </c>
      <c r="E1264" s="59" t="s">
        <v>1993</v>
      </c>
      <c r="F1264" s="62"/>
    </row>
    <row r="1265" s="49" customFormat="1" spans="1:6">
      <c r="A1265" s="56" t="s">
        <v>1991</v>
      </c>
      <c r="B1265" s="60" t="s">
        <v>3402</v>
      </c>
      <c r="C1265" s="61" t="s">
        <v>3403</v>
      </c>
      <c r="D1265" s="60" t="s">
        <v>7</v>
      </c>
      <c r="E1265" s="59" t="s">
        <v>1993</v>
      </c>
      <c r="F1265" s="62"/>
    </row>
    <row r="1266" s="49" customFormat="1" spans="1:6">
      <c r="A1266" s="56" t="s">
        <v>1991</v>
      </c>
      <c r="B1266" s="60" t="s">
        <v>3404</v>
      </c>
      <c r="C1266" s="61" t="s">
        <v>3405</v>
      </c>
      <c r="D1266" s="60" t="s">
        <v>7</v>
      </c>
      <c r="E1266" s="59" t="s">
        <v>1993</v>
      </c>
      <c r="F1266" s="62"/>
    </row>
    <row r="1267" s="49" customFormat="1" spans="1:6">
      <c r="A1267" s="56" t="s">
        <v>1991</v>
      </c>
      <c r="B1267" s="60" t="s">
        <v>3406</v>
      </c>
      <c r="C1267" s="61" t="s">
        <v>96</v>
      </c>
      <c r="D1267" s="60" t="s">
        <v>7</v>
      </c>
      <c r="E1267" s="59" t="s">
        <v>1993</v>
      </c>
      <c r="F1267" s="62"/>
    </row>
    <row r="1268" s="49" customFormat="1" spans="1:6">
      <c r="A1268" s="56" t="s">
        <v>1991</v>
      </c>
      <c r="B1268" s="60" t="s">
        <v>3407</v>
      </c>
      <c r="C1268" s="61" t="s">
        <v>96</v>
      </c>
      <c r="D1268" s="60" t="s">
        <v>7</v>
      </c>
      <c r="E1268" s="59" t="s">
        <v>1993</v>
      </c>
      <c r="F1268" s="62"/>
    </row>
    <row r="1269" s="49" customFormat="1" spans="1:6">
      <c r="A1269" s="56" t="s">
        <v>1991</v>
      </c>
      <c r="B1269" s="60" t="s">
        <v>3408</v>
      </c>
      <c r="C1269" s="61" t="s">
        <v>96</v>
      </c>
      <c r="D1269" s="60" t="s">
        <v>7</v>
      </c>
      <c r="E1269" s="59" t="s">
        <v>1993</v>
      </c>
      <c r="F1269" s="62"/>
    </row>
    <row r="1270" s="49" customFormat="1" spans="1:6">
      <c r="A1270" s="56" t="s">
        <v>1991</v>
      </c>
      <c r="B1270" s="60" t="s">
        <v>3409</v>
      </c>
      <c r="C1270" s="61" t="s">
        <v>96</v>
      </c>
      <c r="D1270" s="60" t="s">
        <v>7</v>
      </c>
      <c r="E1270" s="59" t="s">
        <v>1993</v>
      </c>
      <c r="F1270" s="62"/>
    </row>
    <row r="1271" s="49" customFormat="1" spans="1:6">
      <c r="A1271" s="56" t="s">
        <v>1991</v>
      </c>
      <c r="B1271" s="60" t="s">
        <v>3410</v>
      </c>
      <c r="C1271" s="61" t="s">
        <v>96</v>
      </c>
      <c r="D1271" s="60" t="s">
        <v>7</v>
      </c>
      <c r="E1271" s="59" t="s">
        <v>1993</v>
      </c>
      <c r="F1271" s="62"/>
    </row>
    <row r="1272" s="49" customFormat="1" spans="1:6">
      <c r="A1272" s="56" t="s">
        <v>1991</v>
      </c>
      <c r="B1272" s="60" t="s">
        <v>3411</v>
      </c>
      <c r="C1272" s="61" t="s">
        <v>96</v>
      </c>
      <c r="D1272" s="60" t="s">
        <v>7</v>
      </c>
      <c r="E1272" s="59" t="s">
        <v>1993</v>
      </c>
      <c r="F1272" s="62"/>
    </row>
    <row r="1273" s="49" customFormat="1" spans="1:6">
      <c r="A1273" s="56" t="s">
        <v>1991</v>
      </c>
      <c r="B1273" s="60" t="s">
        <v>3412</v>
      </c>
      <c r="C1273" s="61" t="s">
        <v>96</v>
      </c>
      <c r="D1273" s="60" t="s">
        <v>7</v>
      </c>
      <c r="E1273" s="59" t="s">
        <v>1993</v>
      </c>
      <c r="F1273" s="62"/>
    </row>
    <row r="1274" s="49" customFormat="1" spans="1:6">
      <c r="A1274" s="56" t="s">
        <v>1991</v>
      </c>
      <c r="B1274" s="60" t="s">
        <v>3413</v>
      </c>
      <c r="C1274" s="61" t="s">
        <v>96</v>
      </c>
      <c r="D1274" s="60" t="s">
        <v>7</v>
      </c>
      <c r="E1274" s="59" t="s">
        <v>1993</v>
      </c>
      <c r="F1274" s="62"/>
    </row>
    <row r="1275" s="49" customFormat="1" spans="1:6">
      <c r="A1275" s="56" t="s">
        <v>1991</v>
      </c>
      <c r="B1275" s="60" t="s">
        <v>3414</v>
      </c>
      <c r="C1275" s="61" t="s">
        <v>96</v>
      </c>
      <c r="D1275" s="60" t="s">
        <v>7</v>
      </c>
      <c r="E1275" s="59" t="s">
        <v>1993</v>
      </c>
      <c r="F1275" s="62"/>
    </row>
    <row r="1276" s="49" customFormat="1" spans="1:6">
      <c r="A1276" s="56" t="s">
        <v>1991</v>
      </c>
      <c r="B1276" s="60" t="s">
        <v>3415</v>
      </c>
      <c r="C1276" s="61" t="s">
        <v>96</v>
      </c>
      <c r="D1276" s="60" t="s">
        <v>7</v>
      </c>
      <c r="E1276" s="59" t="s">
        <v>1993</v>
      </c>
      <c r="F1276" s="62"/>
    </row>
    <row r="1277" s="49" customFormat="1" spans="1:6">
      <c r="A1277" s="56" t="s">
        <v>1991</v>
      </c>
      <c r="B1277" s="60" t="s">
        <v>3416</v>
      </c>
      <c r="C1277" s="61" t="s">
        <v>177</v>
      </c>
      <c r="D1277" s="60" t="s">
        <v>7</v>
      </c>
      <c r="E1277" s="59" t="s">
        <v>1993</v>
      </c>
      <c r="F1277" s="62"/>
    </row>
    <row r="1278" s="49" customFormat="1" spans="1:6">
      <c r="A1278" s="56" t="s">
        <v>1991</v>
      </c>
      <c r="B1278" s="60" t="s">
        <v>3417</v>
      </c>
      <c r="C1278" s="61" t="s">
        <v>177</v>
      </c>
      <c r="D1278" s="60" t="s">
        <v>7</v>
      </c>
      <c r="E1278" s="59" t="s">
        <v>1993</v>
      </c>
      <c r="F1278" s="62"/>
    </row>
    <row r="1279" s="49" customFormat="1" spans="1:6">
      <c r="A1279" s="56" t="s">
        <v>1991</v>
      </c>
      <c r="B1279" s="60" t="s">
        <v>3418</v>
      </c>
      <c r="C1279" s="61" t="s">
        <v>177</v>
      </c>
      <c r="D1279" s="60" t="s">
        <v>7</v>
      </c>
      <c r="E1279" s="59" t="s">
        <v>1993</v>
      </c>
      <c r="F1279" s="62"/>
    </row>
    <row r="1280" s="49" customFormat="1" spans="1:6">
      <c r="A1280" s="56" t="s">
        <v>1991</v>
      </c>
      <c r="B1280" s="60" t="s">
        <v>3419</v>
      </c>
      <c r="C1280" s="61" t="s">
        <v>177</v>
      </c>
      <c r="D1280" s="60" t="s">
        <v>7</v>
      </c>
      <c r="E1280" s="59" t="s">
        <v>1993</v>
      </c>
      <c r="F1280" s="62"/>
    </row>
    <row r="1281" s="49" customFormat="1" spans="1:6">
      <c r="A1281" s="56" t="s">
        <v>1991</v>
      </c>
      <c r="B1281" s="60" t="s">
        <v>3420</v>
      </c>
      <c r="C1281" s="61" t="s">
        <v>177</v>
      </c>
      <c r="D1281" s="60" t="s">
        <v>7</v>
      </c>
      <c r="E1281" s="59" t="s">
        <v>1993</v>
      </c>
      <c r="F1281" s="62"/>
    </row>
    <row r="1282" s="49" customFormat="1" spans="1:6">
      <c r="A1282" s="56" t="s">
        <v>1991</v>
      </c>
      <c r="B1282" s="60" t="s">
        <v>3421</v>
      </c>
      <c r="C1282" s="61" t="s">
        <v>177</v>
      </c>
      <c r="D1282" s="60" t="s">
        <v>7</v>
      </c>
      <c r="E1282" s="59" t="s">
        <v>1993</v>
      </c>
      <c r="F1282" s="62"/>
    </row>
    <row r="1283" s="49" customFormat="1" spans="1:6">
      <c r="A1283" s="56" t="s">
        <v>1991</v>
      </c>
      <c r="B1283" s="60" t="s">
        <v>3422</v>
      </c>
      <c r="C1283" s="61" t="s">
        <v>177</v>
      </c>
      <c r="D1283" s="60" t="s">
        <v>7</v>
      </c>
      <c r="E1283" s="59" t="s">
        <v>1993</v>
      </c>
      <c r="F1283" s="62"/>
    </row>
    <row r="1284" s="49" customFormat="1" spans="1:6">
      <c r="A1284" s="56" t="s">
        <v>1991</v>
      </c>
      <c r="B1284" s="60" t="s">
        <v>3423</v>
      </c>
      <c r="C1284" s="61" t="s">
        <v>177</v>
      </c>
      <c r="D1284" s="60" t="s">
        <v>7</v>
      </c>
      <c r="E1284" s="59" t="s">
        <v>1993</v>
      </c>
      <c r="F1284" s="62"/>
    </row>
    <row r="1285" s="49" customFormat="1" spans="1:6">
      <c r="A1285" s="56" t="s">
        <v>1991</v>
      </c>
      <c r="B1285" s="60" t="s">
        <v>3424</v>
      </c>
      <c r="C1285" s="61" t="s">
        <v>177</v>
      </c>
      <c r="D1285" s="60" t="s">
        <v>7</v>
      </c>
      <c r="E1285" s="59" t="s">
        <v>1993</v>
      </c>
      <c r="F1285" s="62"/>
    </row>
    <row r="1286" s="49" customFormat="1" spans="1:6">
      <c r="A1286" s="56" t="s">
        <v>1991</v>
      </c>
      <c r="B1286" s="60" t="s">
        <v>3425</v>
      </c>
      <c r="C1286" s="61" t="s">
        <v>177</v>
      </c>
      <c r="D1286" s="60" t="s">
        <v>7</v>
      </c>
      <c r="E1286" s="59" t="s">
        <v>1993</v>
      </c>
      <c r="F1286" s="62"/>
    </row>
    <row r="1287" s="49" customFormat="1" spans="1:6">
      <c r="A1287" s="56" t="s">
        <v>1991</v>
      </c>
      <c r="B1287" s="60" t="s">
        <v>3426</v>
      </c>
      <c r="C1287" s="61" t="s">
        <v>177</v>
      </c>
      <c r="D1287" s="60" t="s">
        <v>7</v>
      </c>
      <c r="E1287" s="59" t="s">
        <v>1993</v>
      </c>
      <c r="F1287" s="62"/>
    </row>
    <row r="1288" s="49" customFormat="1" spans="1:6">
      <c r="A1288" s="56" t="s">
        <v>1991</v>
      </c>
      <c r="B1288" s="60" t="s">
        <v>3427</v>
      </c>
      <c r="C1288" s="61" t="s">
        <v>177</v>
      </c>
      <c r="D1288" s="60" t="s">
        <v>7</v>
      </c>
      <c r="E1288" s="59" t="s">
        <v>1993</v>
      </c>
      <c r="F1288" s="62"/>
    </row>
    <row r="1289" s="49" customFormat="1" spans="1:6">
      <c r="A1289" s="56" t="s">
        <v>1991</v>
      </c>
      <c r="B1289" s="60" t="s">
        <v>3428</v>
      </c>
      <c r="C1289" s="61" t="s">
        <v>177</v>
      </c>
      <c r="D1289" s="60" t="s">
        <v>7</v>
      </c>
      <c r="E1289" s="59" t="s">
        <v>1993</v>
      </c>
      <c r="F1289" s="62"/>
    </row>
    <row r="1290" s="49" customFormat="1" spans="1:6">
      <c r="A1290" s="56" t="s">
        <v>1991</v>
      </c>
      <c r="B1290" s="60" t="s">
        <v>3429</v>
      </c>
      <c r="C1290" s="61" t="s">
        <v>177</v>
      </c>
      <c r="D1290" s="60" t="s">
        <v>7</v>
      </c>
      <c r="E1290" s="59" t="s">
        <v>1993</v>
      </c>
      <c r="F1290" s="62"/>
    </row>
    <row r="1291" s="49" customFormat="1" spans="1:6">
      <c r="A1291" s="56" t="s">
        <v>1991</v>
      </c>
      <c r="B1291" s="60" t="s">
        <v>3430</v>
      </c>
      <c r="C1291" s="61" t="s">
        <v>177</v>
      </c>
      <c r="D1291" s="60" t="s">
        <v>7</v>
      </c>
      <c r="E1291" s="59" t="s">
        <v>1993</v>
      </c>
      <c r="F1291" s="62"/>
    </row>
    <row r="1292" s="49" customFormat="1" spans="1:6">
      <c r="A1292" s="56" t="s">
        <v>1991</v>
      </c>
      <c r="B1292" s="60" t="s">
        <v>3431</v>
      </c>
      <c r="C1292" s="61" t="s">
        <v>177</v>
      </c>
      <c r="D1292" s="60" t="s">
        <v>7</v>
      </c>
      <c r="E1292" s="59" t="s">
        <v>1993</v>
      </c>
      <c r="F1292" s="62"/>
    </row>
    <row r="1293" s="49" customFormat="1" spans="1:6">
      <c r="A1293" s="56" t="s">
        <v>1991</v>
      </c>
      <c r="B1293" s="60" t="s">
        <v>3432</v>
      </c>
      <c r="C1293" s="61" t="s">
        <v>177</v>
      </c>
      <c r="D1293" s="60" t="s">
        <v>7</v>
      </c>
      <c r="E1293" s="59" t="s">
        <v>1993</v>
      </c>
      <c r="F1293" s="62"/>
    </row>
    <row r="1294" s="49" customFormat="1" spans="1:6">
      <c r="A1294" s="56" t="s">
        <v>1991</v>
      </c>
      <c r="B1294" s="60" t="s">
        <v>3433</v>
      </c>
      <c r="C1294" s="61" t="s">
        <v>177</v>
      </c>
      <c r="D1294" s="60" t="s">
        <v>7</v>
      </c>
      <c r="E1294" s="59" t="s">
        <v>1993</v>
      </c>
      <c r="F1294" s="62"/>
    </row>
    <row r="1295" s="49" customFormat="1" spans="1:6">
      <c r="A1295" s="56" t="s">
        <v>1991</v>
      </c>
      <c r="B1295" s="60" t="s">
        <v>3434</v>
      </c>
      <c r="C1295" s="61" t="s">
        <v>177</v>
      </c>
      <c r="D1295" s="60" t="s">
        <v>7</v>
      </c>
      <c r="E1295" s="59" t="s">
        <v>1993</v>
      </c>
      <c r="F1295" s="62"/>
    </row>
    <row r="1296" s="49" customFormat="1" spans="1:6">
      <c r="A1296" s="56" t="s">
        <v>1991</v>
      </c>
      <c r="B1296" s="60" t="s">
        <v>3435</v>
      </c>
      <c r="C1296" s="61" t="s">
        <v>177</v>
      </c>
      <c r="D1296" s="60" t="s">
        <v>7</v>
      </c>
      <c r="E1296" s="59" t="s">
        <v>1993</v>
      </c>
      <c r="F1296" s="62"/>
    </row>
    <row r="1297" s="49" customFormat="1" spans="1:6">
      <c r="A1297" s="56" t="s">
        <v>1991</v>
      </c>
      <c r="B1297" s="60" t="s">
        <v>3436</v>
      </c>
      <c r="C1297" s="61" t="s">
        <v>177</v>
      </c>
      <c r="D1297" s="60" t="s">
        <v>7</v>
      </c>
      <c r="E1297" s="59" t="s">
        <v>1993</v>
      </c>
      <c r="F1297" s="62"/>
    </row>
    <row r="1298" s="49" customFormat="1" spans="1:6">
      <c r="A1298" s="56" t="s">
        <v>1991</v>
      </c>
      <c r="B1298" s="60" t="s">
        <v>3437</v>
      </c>
      <c r="C1298" s="61" t="s">
        <v>177</v>
      </c>
      <c r="D1298" s="60" t="s">
        <v>7</v>
      </c>
      <c r="E1298" s="59" t="s">
        <v>1993</v>
      </c>
      <c r="F1298" s="62"/>
    </row>
    <row r="1299" s="49" customFormat="1" spans="1:6">
      <c r="A1299" s="56" t="s">
        <v>1991</v>
      </c>
      <c r="B1299" s="60" t="s">
        <v>3438</v>
      </c>
      <c r="C1299" s="61" t="s">
        <v>364</v>
      </c>
      <c r="D1299" s="60" t="s">
        <v>7</v>
      </c>
      <c r="E1299" s="59" t="s">
        <v>1993</v>
      </c>
      <c r="F1299" s="62"/>
    </row>
    <row r="1300" s="49" customFormat="1" spans="1:6">
      <c r="A1300" s="56" t="s">
        <v>1991</v>
      </c>
      <c r="B1300" s="60" t="s">
        <v>3439</v>
      </c>
      <c r="C1300" s="61" t="s">
        <v>364</v>
      </c>
      <c r="D1300" s="60" t="s">
        <v>7</v>
      </c>
      <c r="E1300" s="59" t="s">
        <v>1993</v>
      </c>
      <c r="F1300" s="62"/>
    </row>
    <row r="1301" s="49" customFormat="1" spans="1:6">
      <c r="A1301" s="56" t="s">
        <v>1991</v>
      </c>
      <c r="B1301" s="60" t="s">
        <v>3440</v>
      </c>
      <c r="C1301" s="61" t="s">
        <v>364</v>
      </c>
      <c r="D1301" s="60" t="s">
        <v>7</v>
      </c>
      <c r="E1301" s="59" t="s">
        <v>1993</v>
      </c>
      <c r="F1301" s="62"/>
    </row>
    <row r="1302" s="49" customFormat="1" spans="1:6">
      <c r="A1302" s="56" t="s">
        <v>1991</v>
      </c>
      <c r="B1302" s="60" t="s">
        <v>3441</v>
      </c>
      <c r="C1302" s="61" t="s">
        <v>364</v>
      </c>
      <c r="D1302" s="60" t="s">
        <v>7</v>
      </c>
      <c r="E1302" s="59" t="s">
        <v>1993</v>
      </c>
      <c r="F1302" s="62"/>
    </row>
    <row r="1303" s="49" customFormat="1" spans="1:6">
      <c r="A1303" s="56" t="s">
        <v>1991</v>
      </c>
      <c r="B1303" s="60" t="s">
        <v>3442</v>
      </c>
      <c r="C1303" s="61" t="s">
        <v>364</v>
      </c>
      <c r="D1303" s="60" t="s">
        <v>7</v>
      </c>
      <c r="E1303" s="59" t="s">
        <v>1993</v>
      </c>
      <c r="F1303" s="62"/>
    </row>
    <row r="1304" s="49" customFormat="1" spans="1:6">
      <c r="A1304" s="56" t="s">
        <v>1991</v>
      </c>
      <c r="B1304" s="60" t="s">
        <v>3443</v>
      </c>
      <c r="C1304" s="61" t="s">
        <v>362</v>
      </c>
      <c r="D1304" s="60" t="s">
        <v>7</v>
      </c>
      <c r="E1304" s="59" t="s">
        <v>1993</v>
      </c>
      <c r="F1304" s="62"/>
    </row>
    <row r="1305" s="49" customFormat="1" spans="1:6">
      <c r="A1305" s="56" t="s">
        <v>1991</v>
      </c>
      <c r="B1305" s="60" t="s">
        <v>3444</v>
      </c>
      <c r="C1305" s="61" t="s">
        <v>362</v>
      </c>
      <c r="D1305" s="60" t="s">
        <v>7</v>
      </c>
      <c r="E1305" s="59" t="s">
        <v>1993</v>
      </c>
      <c r="F1305" s="62"/>
    </row>
    <row r="1306" s="49" customFormat="1" spans="1:6">
      <c r="A1306" s="56" t="s">
        <v>1991</v>
      </c>
      <c r="B1306" s="60" t="s">
        <v>3445</v>
      </c>
      <c r="C1306" s="61" t="s">
        <v>362</v>
      </c>
      <c r="D1306" s="60" t="s">
        <v>7</v>
      </c>
      <c r="E1306" s="59" t="s">
        <v>1993</v>
      </c>
      <c r="F1306" s="62"/>
    </row>
    <row r="1307" s="49" customFormat="1" spans="1:6">
      <c r="A1307" s="56" t="s">
        <v>1991</v>
      </c>
      <c r="B1307" s="60" t="s">
        <v>3446</v>
      </c>
      <c r="C1307" s="61" t="s">
        <v>2427</v>
      </c>
      <c r="D1307" s="60" t="s">
        <v>7</v>
      </c>
      <c r="E1307" s="59" t="s">
        <v>1993</v>
      </c>
      <c r="F1307" s="62"/>
    </row>
    <row r="1308" s="49" customFormat="1" spans="1:6">
      <c r="A1308" s="56" t="s">
        <v>1991</v>
      </c>
      <c r="B1308" s="60" t="s">
        <v>3447</v>
      </c>
      <c r="C1308" s="61" t="s">
        <v>2427</v>
      </c>
      <c r="D1308" s="60" t="s">
        <v>7</v>
      </c>
      <c r="E1308" s="59" t="s">
        <v>1993</v>
      </c>
      <c r="F1308" s="62"/>
    </row>
    <row r="1309" s="49" customFormat="1" spans="1:6">
      <c r="A1309" s="56" t="s">
        <v>1991</v>
      </c>
      <c r="B1309" s="60" t="s">
        <v>3448</v>
      </c>
      <c r="C1309" s="61" t="s">
        <v>2427</v>
      </c>
      <c r="D1309" s="60" t="s">
        <v>7</v>
      </c>
      <c r="E1309" s="59" t="s">
        <v>1993</v>
      </c>
      <c r="F1309" s="62"/>
    </row>
    <row r="1310" s="49" customFormat="1" spans="1:6">
      <c r="A1310" s="56" t="s">
        <v>1991</v>
      </c>
      <c r="B1310" s="60" t="s">
        <v>3449</v>
      </c>
      <c r="C1310" s="61" t="s">
        <v>3450</v>
      </c>
      <c r="D1310" s="60" t="s">
        <v>7</v>
      </c>
      <c r="E1310" s="59" t="s">
        <v>1993</v>
      </c>
      <c r="F1310" s="62"/>
    </row>
    <row r="1311" s="49" customFormat="1" spans="1:6">
      <c r="A1311" s="56" t="s">
        <v>1991</v>
      </c>
      <c r="B1311" s="60" t="s">
        <v>3451</v>
      </c>
      <c r="C1311" s="61" t="s">
        <v>3452</v>
      </c>
      <c r="D1311" s="60" t="s">
        <v>7</v>
      </c>
      <c r="E1311" s="59" t="s">
        <v>1993</v>
      </c>
      <c r="F1311" s="62"/>
    </row>
    <row r="1312" s="49" customFormat="1" spans="1:6">
      <c r="A1312" s="56" t="s">
        <v>1991</v>
      </c>
      <c r="B1312" s="60" t="s">
        <v>3453</v>
      </c>
      <c r="C1312" s="61" t="s">
        <v>3454</v>
      </c>
      <c r="D1312" s="60" t="s">
        <v>7</v>
      </c>
      <c r="E1312" s="59" t="s">
        <v>1993</v>
      </c>
      <c r="F1312" s="62"/>
    </row>
    <row r="1313" s="49" customFormat="1" spans="1:6">
      <c r="A1313" s="56" t="s">
        <v>1991</v>
      </c>
      <c r="B1313" s="60" t="s">
        <v>3455</v>
      </c>
      <c r="C1313" s="61" t="s">
        <v>3456</v>
      </c>
      <c r="D1313" s="60" t="s">
        <v>7</v>
      </c>
      <c r="E1313" s="59" t="s">
        <v>1993</v>
      </c>
      <c r="F1313" s="62"/>
    </row>
    <row r="1314" s="49" customFormat="1" spans="1:6">
      <c r="A1314" s="56" t="s">
        <v>1991</v>
      </c>
      <c r="B1314" s="60" t="s">
        <v>3457</v>
      </c>
      <c r="C1314" s="61" t="s">
        <v>3458</v>
      </c>
      <c r="D1314" s="60" t="s">
        <v>7</v>
      </c>
      <c r="E1314" s="59" t="s">
        <v>1993</v>
      </c>
      <c r="F1314" s="62"/>
    </row>
    <row r="1315" s="49" customFormat="1" spans="1:6">
      <c r="A1315" s="56" t="s">
        <v>1991</v>
      </c>
      <c r="B1315" s="60" t="s">
        <v>3459</v>
      </c>
      <c r="C1315" s="61" t="s">
        <v>3460</v>
      </c>
      <c r="D1315" s="60" t="s">
        <v>7</v>
      </c>
      <c r="E1315" s="59" t="s">
        <v>1993</v>
      </c>
      <c r="F1315" s="62"/>
    </row>
    <row r="1316" s="49" customFormat="1" spans="1:6">
      <c r="A1316" s="56" t="s">
        <v>1991</v>
      </c>
      <c r="B1316" s="60" t="s">
        <v>3461</v>
      </c>
      <c r="C1316" s="61" t="s">
        <v>3460</v>
      </c>
      <c r="D1316" s="60" t="s">
        <v>7</v>
      </c>
      <c r="E1316" s="59" t="s">
        <v>1993</v>
      </c>
      <c r="F1316" s="62"/>
    </row>
    <row r="1317" s="49" customFormat="1" spans="1:6">
      <c r="A1317" s="56" t="s">
        <v>1991</v>
      </c>
      <c r="B1317" s="60" t="s">
        <v>3462</v>
      </c>
      <c r="C1317" s="61" t="s">
        <v>3450</v>
      </c>
      <c r="D1317" s="60" t="s">
        <v>7</v>
      </c>
      <c r="E1317" s="59" t="s">
        <v>1993</v>
      </c>
      <c r="F1317" s="62"/>
    </row>
    <row r="1318" s="49" customFormat="1" spans="1:6">
      <c r="A1318" s="56" t="s">
        <v>1991</v>
      </c>
      <c r="B1318" s="60" t="s">
        <v>3463</v>
      </c>
      <c r="C1318" s="61" t="s">
        <v>3464</v>
      </c>
      <c r="D1318" s="60" t="s">
        <v>7</v>
      </c>
      <c r="E1318" s="59" t="s">
        <v>1993</v>
      </c>
      <c r="F1318" s="62"/>
    </row>
    <row r="1319" s="49" customFormat="1" spans="1:6">
      <c r="A1319" s="56" t="s">
        <v>1991</v>
      </c>
      <c r="B1319" s="60" t="s">
        <v>3465</v>
      </c>
      <c r="C1319" s="61" t="s">
        <v>3466</v>
      </c>
      <c r="D1319" s="60" t="s">
        <v>7</v>
      </c>
      <c r="E1319" s="59" t="s">
        <v>1993</v>
      </c>
      <c r="F1319" s="62"/>
    </row>
    <row r="1320" s="49" customFormat="1" spans="1:6">
      <c r="A1320" s="56" t="s">
        <v>1991</v>
      </c>
      <c r="B1320" s="60" t="s">
        <v>3467</v>
      </c>
      <c r="C1320" s="61" t="s">
        <v>3468</v>
      </c>
      <c r="D1320" s="60" t="s">
        <v>7</v>
      </c>
      <c r="E1320" s="59" t="s">
        <v>1993</v>
      </c>
      <c r="F1320" s="62"/>
    </row>
    <row r="1321" s="49" customFormat="1" spans="1:6">
      <c r="A1321" s="56" t="s">
        <v>1991</v>
      </c>
      <c r="B1321" s="60" t="s">
        <v>3469</v>
      </c>
      <c r="C1321" s="61" t="s">
        <v>3470</v>
      </c>
      <c r="D1321" s="60" t="s">
        <v>7</v>
      </c>
      <c r="E1321" s="59" t="s">
        <v>1993</v>
      </c>
      <c r="F1321" s="62"/>
    </row>
    <row r="1322" s="49" customFormat="1" spans="1:6">
      <c r="A1322" s="56" t="s">
        <v>1991</v>
      </c>
      <c r="B1322" s="60" t="s">
        <v>3471</v>
      </c>
      <c r="C1322" s="61" t="s">
        <v>3454</v>
      </c>
      <c r="D1322" s="60" t="s">
        <v>7</v>
      </c>
      <c r="E1322" s="59" t="s">
        <v>1993</v>
      </c>
      <c r="F1322" s="62"/>
    </row>
    <row r="1323" s="49" customFormat="1" spans="1:6">
      <c r="A1323" s="56" t="s">
        <v>1991</v>
      </c>
      <c r="B1323" s="60" t="s">
        <v>3472</v>
      </c>
      <c r="C1323" s="61" t="s">
        <v>3454</v>
      </c>
      <c r="D1323" s="60" t="s">
        <v>7</v>
      </c>
      <c r="E1323" s="59" t="s">
        <v>1993</v>
      </c>
      <c r="F1323" s="62"/>
    </row>
    <row r="1324" s="49" customFormat="1" spans="1:6">
      <c r="A1324" s="56" t="s">
        <v>1991</v>
      </c>
      <c r="B1324" s="60" t="s">
        <v>3473</v>
      </c>
      <c r="C1324" s="61" t="s">
        <v>3474</v>
      </c>
      <c r="D1324" s="60" t="s">
        <v>7</v>
      </c>
      <c r="E1324" s="59" t="s">
        <v>1993</v>
      </c>
      <c r="F1324" s="62"/>
    </row>
    <row r="1325" s="49" customFormat="1" spans="1:6">
      <c r="A1325" s="56" t="s">
        <v>1991</v>
      </c>
      <c r="B1325" s="60" t="s">
        <v>3475</v>
      </c>
      <c r="C1325" s="61" t="s">
        <v>3474</v>
      </c>
      <c r="D1325" s="60" t="s">
        <v>7</v>
      </c>
      <c r="E1325" s="59" t="s">
        <v>1993</v>
      </c>
      <c r="F1325" s="62"/>
    </row>
    <row r="1326" s="49" customFormat="1" spans="1:6">
      <c r="A1326" s="56" t="s">
        <v>1991</v>
      </c>
      <c r="B1326" s="60" t="s">
        <v>3476</v>
      </c>
      <c r="C1326" s="61" t="s">
        <v>365</v>
      </c>
      <c r="D1326" s="60" t="s">
        <v>7</v>
      </c>
      <c r="E1326" s="59" t="s">
        <v>1993</v>
      </c>
      <c r="F1326" s="62"/>
    </row>
    <row r="1327" s="49" customFormat="1" spans="1:6">
      <c r="A1327" s="56" t="s">
        <v>1991</v>
      </c>
      <c r="B1327" s="60" t="s">
        <v>3477</v>
      </c>
      <c r="C1327" s="61" t="s">
        <v>365</v>
      </c>
      <c r="D1327" s="60" t="s">
        <v>7</v>
      </c>
      <c r="E1327" s="59" t="s">
        <v>1993</v>
      </c>
      <c r="F1327" s="62"/>
    </row>
    <row r="1328" s="49" customFormat="1" spans="1:6">
      <c r="A1328" s="56" t="s">
        <v>1991</v>
      </c>
      <c r="B1328" s="60" t="s">
        <v>3478</v>
      </c>
      <c r="C1328" s="61" t="s">
        <v>2427</v>
      </c>
      <c r="D1328" s="60" t="s">
        <v>7</v>
      </c>
      <c r="E1328" s="59" t="s">
        <v>1993</v>
      </c>
      <c r="F1328" s="62"/>
    </row>
    <row r="1329" s="49" customFormat="1" spans="1:6">
      <c r="A1329" s="56" t="s">
        <v>1991</v>
      </c>
      <c r="B1329" s="60" t="s">
        <v>3479</v>
      </c>
      <c r="C1329" s="61" t="s">
        <v>2427</v>
      </c>
      <c r="D1329" s="60" t="s">
        <v>7</v>
      </c>
      <c r="E1329" s="59" t="s">
        <v>1993</v>
      </c>
      <c r="F1329" s="62"/>
    </row>
    <row r="1330" s="49" customFormat="1" spans="1:6">
      <c r="A1330" s="56" t="s">
        <v>1991</v>
      </c>
      <c r="B1330" s="60" t="s">
        <v>3480</v>
      </c>
      <c r="C1330" s="61" t="s">
        <v>96</v>
      </c>
      <c r="D1330" s="60" t="s">
        <v>7</v>
      </c>
      <c r="E1330" s="59" t="s">
        <v>1993</v>
      </c>
      <c r="F1330" s="62"/>
    </row>
    <row r="1331" s="49" customFormat="1" spans="1:6">
      <c r="A1331" s="56" t="s">
        <v>1991</v>
      </c>
      <c r="B1331" s="60" t="s">
        <v>3481</v>
      </c>
      <c r="C1331" s="61" t="s">
        <v>96</v>
      </c>
      <c r="D1331" s="60" t="s">
        <v>7</v>
      </c>
      <c r="E1331" s="59" t="s">
        <v>1993</v>
      </c>
      <c r="F1331" s="62"/>
    </row>
    <row r="1332" s="49" customFormat="1" spans="1:6">
      <c r="A1332" s="56" t="s">
        <v>1991</v>
      </c>
      <c r="B1332" s="60" t="s">
        <v>3482</v>
      </c>
      <c r="C1332" s="61" t="s">
        <v>2589</v>
      </c>
      <c r="D1332" s="60" t="s">
        <v>7</v>
      </c>
      <c r="E1332" s="59" t="s">
        <v>1993</v>
      </c>
      <c r="F1332" s="62"/>
    </row>
    <row r="1333" s="49" customFormat="1" ht="27" spans="1:6">
      <c r="A1333" s="56" t="s">
        <v>1991</v>
      </c>
      <c r="B1333" s="60" t="s">
        <v>3483</v>
      </c>
      <c r="C1333" s="61" t="s">
        <v>3320</v>
      </c>
      <c r="D1333" s="60" t="s">
        <v>7</v>
      </c>
      <c r="E1333" s="59" t="s">
        <v>1993</v>
      </c>
      <c r="F1333" s="63" t="s">
        <v>3321</v>
      </c>
    </row>
    <row r="1334" s="49" customFormat="1" ht="27" spans="1:6">
      <c r="A1334" s="56" t="s">
        <v>1991</v>
      </c>
      <c r="B1334" s="60" t="s">
        <v>3484</v>
      </c>
      <c r="C1334" s="61" t="s">
        <v>3320</v>
      </c>
      <c r="D1334" s="60" t="s">
        <v>7</v>
      </c>
      <c r="E1334" s="59" t="s">
        <v>1993</v>
      </c>
      <c r="F1334" s="63" t="s">
        <v>3321</v>
      </c>
    </row>
    <row r="1335" s="49" customFormat="1" ht="27" spans="1:6">
      <c r="A1335" s="56" t="s">
        <v>1991</v>
      </c>
      <c r="B1335" s="60" t="s">
        <v>3485</v>
      </c>
      <c r="C1335" s="61" t="s">
        <v>3320</v>
      </c>
      <c r="D1335" s="60" t="s">
        <v>7</v>
      </c>
      <c r="E1335" s="59" t="s">
        <v>1993</v>
      </c>
      <c r="F1335" s="63" t="s">
        <v>3321</v>
      </c>
    </row>
    <row r="1336" s="49" customFormat="1" ht="27" spans="1:6">
      <c r="A1336" s="56" t="s">
        <v>1991</v>
      </c>
      <c r="B1336" s="60" t="s">
        <v>3486</v>
      </c>
      <c r="C1336" s="61" t="s">
        <v>3320</v>
      </c>
      <c r="D1336" s="60" t="s">
        <v>7</v>
      </c>
      <c r="E1336" s="59" t="s">
        <v>1993</v>
      </c>
      <c r="F1336" s="63" t="s">
        <v>3321</v>
      </c>
    </row>
    <row r="1337" s="49" customFormat="1" ht="27" spans="1:6">
      <c r="A1337" s="56" t="s">
        <v>1991</v>
      </c>
      <c r="B1337" s="60" t="s">
        <v>3487</v>
      </c>
      <c r="C1337" s="61" t="s">
        <v>3320</v>
      </c>
      <c r="D1337" s="60" t="s">
        <v>7</v>
      </c>
      <c r="E1337" s="59" t="s">
        <v>1993</v>
      </c>
      <c r="F1337" s="63" t="s">
        <v>3321</v>
      </c>
    </row>
    <row r="1338" s="49" customFormat="1" ht="27" spans="1:6">
      <c r="A1338" s="56" t="s">
        <v>1991</v>
      </c>
      <c r="B1338" s="60" t="s">
        <v>3488</v>
      </c>
      <c r="C1338" s="61" t="s">
        <v>3320</v>
      </c>
      <c r="D1338" s="60" t="s">
        <v>7</v>
      </c>
      <c r="E1338" s="59" t="s">
        <v>1993</v>
      </c>
      <c r="F1338" s="63" t="s">
        <v>3321</v>
      </c>
    </row>
    <row r="1339" s="49" customFormat="1" ht="27" spans="1:6">
      <c r="A1339" s="56" t="s">
        <v>1991</v>
      </c>
      <c r="B1339" s="60" t="s">
        <v>3489</v>
      </c>
      <c r="C1339" s="61" t="s">
        <v>3320</v>
      </c>
      <c r="D1339" s="60" t="s">
        <v>7</v>
      </c>
      <c r="E1339" s="59" t="s">
        <v>1993</v>
      </c>
      <c r="F1339" s="63" t="s">
        <v>3321</v>
      </c>
    </row>
    <row r="1340" s="49" customFormat="1" spans="1:6">
      <c r="A1340" s="56" t="s">
        <v>1991</v>
      </c>
      <c r="B1340" s="60" t="s">
        <v>3490</v>
      </c>
      <c r="C1340" s="61" t="s">
        <v>3491</v>
      </c>
      <c r="D1340" s="60" t="s">
        <v>7</v>
      </c>
      <c r="E1340" s="59" t="s">
        <v>1993</v>
      </c>
      <c r="F1340" s="63" t="s">
        <v>3492</v>
      </c>
    </row>
    <row r="1341" s="49" customFormat="1" spans="1:6">
      <c r="A1341" s="56" t="s">
        <v>1991</v>
      </c>
      <c r="B1341" s="60" t="s">
        <v>3493</v>
      </c>
      <c r="C1341" s="61" t="s">
        <v>3494</v>
      </c>
      <c r="D1341" s="60" t="s">
        <v>7</v>
      </c>
      <c r="E1341" s="59" t="s">
        <v>1993</v>
      </c>
      <c r="F1341" s="63" t="s">
        <v>3495</v>
      </c>
    </row>
    <row r="1342" s="49" customFormat="1" spans="1:6">
      <c r="A1342" s="56" t="s">
        <v>1991</v>
      </c>
      <c r="B1342" s="60" t="s">
        <v>3496</v>
      </c>
      <c r="C1342" s="61" t="s">
        <v>3497</v>
      </c>
      <c r="D1342" s="60" t="s">
        <v>7</v>
      </c>
      <c r="E1342" s="59" t="s">
        <v>1993</v>
      </c>
      <c r="F1342" s="62"/>
    </row>
    <row r="1343" s="49" customFormat="1" spans="1:6">
      <c r="A1343" s="56" t="s">
        <v>1991</v>
      </c>
      <c r="B1343" s="60" t="s">
        <v>3498</v>
      </c>
      <c r="C1343" s="61" t="s">
        <v>3497</v>
      </c>
      <c r="D1343" s="60" t="s">
        <v>7</v>
      </c>
      <c r="E1343" s="59" t="s">
        <v>1993</v>
      </c>
      <c r="F1343" s="62"/>
    </row>
    <row r="1344" s="49" customFormat="1" spans="1:6">
      <c r="A1344" s="56" t="s">
        <v>1991</v>
      </c>
      <c r="B1344" s="60" t="s">
        <v>3499</v>
      </c>
      <c r="C1344" s="61" t="s">
        <v>3497</v>
      </c>
      <c r="D1344" s="60" t="s">
        <v>7</v>
      </c>
      <c r="E1344" s="59" t="s">
        <v>1993</v>
      </c>
      <c r="F1344" s="62"/>
    </row>
    <row r="1345" s="49" customFormat="1" spans="1:6">
      <c r="A1345" s="56" t="s">
        <v>1991</v>
      </c>
      <c r="B1345" s="60" t="s">
        <v>3500</v>
      </c>
      <c r="C1345" s="61" t="s">
        <v>3497</v>
      </c>
      <c r="D1345" s="60" t="s">
        <v>7</v>
      </c>
      <c r="E1345" s="59" t="s">
        <v>1993</v>
      </c>
      <c r="F1345" s="62"/>
    </row>
    <row r="1346" s="49" customFormat="1" spans="1:6">
      <c r="A1346" s="56" t="s">
        <v>1991</v>
      </c>
      <c r="B1346" s="60" t="s">
        <v>3501</v>
      </c>
      <c r="C1346" s="61" t="s">
        <v>3497</v>
      </c>
      <c r="D1346" s="60" t="s">
        <v>7</v>
      </c>
      <c r="E1346" s="59" t="s">
        <v>1993</v>
      </c>
      <c r="F1346" s="62"/>
    </row>
    <row r="1347" s="49" customFormat="1" spans="1:6">
      <c r="A1347" s="56" t="s">
        <v>1991</v>
      </c>
      <c r="B1347" s="60" t="s">
        <v>3502</v>
      </c>
      <c r="C1347" s="61" t="s">
        <v>3497</v>
      </c>
      <c r="D1347" s="60" t="s">
        <v>7</v>
      </c>
      <c r="E1347" s="59" t="s">
        <v>1993</v>
      </c>
      <c r="F1347" s="62"/>
    </row>
    <row r="1348" s="49" customFormat="1" spans="1:6">
      <c r="A1348" s="56" t="s">
        <v>1991</v>
      </c>
      <c r="B1348" s="60" t="s">
        <v>3503</v>
      </c>
      <c r="C1348" s="61" t="s">
        <v>3497</v>
      </c>
      <c r="D1348" s="60" t="s">
        <v>7</v>
      </c>
      <c r="E1348" s="59" t="s">
        <v>1993</v>
      </c>
      <c r="F1348" s="62"/>
    </row>
    <row r="1349" s="49" customFormat="1" spans="1:6">
      <c r="A1349" s="56" t="s">
        <v>1991</v>
      </c>
      <c r="B1349" s="60" t="s">
        <v>3504</v>
      </c>
      <c r="C1349" s="61" t="s">
        <v>3497</v>
      </c>
      <c r="D1349" s="60" t="s">
        <v>7</v>
      </c>
      <c r="E1349" s="59" t="s">
        <v>1993</v>
      </c>
      <c r="F1349" s="62"/>
    </row>
    <row r="1350" s="49" customFormat="1" spans="1:6">
      <c r="A1350" s="56" t="s">
        <v>1991</v>
      </c>
      <c r="B1350" s="60" t="s">
        <v>3505</v>
      </c>
      <c r="C1350" s="61" t="s">
        <v>3497</v>
      </c>
      <c r="D1350" s="60" t="s">
        <v>7</v>
      </c>
      <c r="E1350" s="59" t="s">
        <v>1993</v>
      </c>
      <c r="F1350" s="62"/>
    </row>
    <row r="1351" s="49" customFormat="1" spans="1:6">
      <c r="A1351" s="56" t="s">
        <v>1991</v>
      </c>
      <c r="B1351" s="60" t="s">
        <v>3506</v>
      </c>
      <c r="C1351" s="61" t="s">
        <v>3497</v>
      </c>
      <c r="D1351" s="60" t="s">
        <v>7</v>
      </c>
      <c r="E1351" s="59" t="s">
        <v>1993</v>
      </c>
      <c r="F1351" s="62"/>
    </row>
    <row r="1352" s="49" customFormat="1" spans="1:6">
      <c r="A1352" s="56" t="s">
        <v>1991</v>
      </c>
      <c r="B1352" s="64">
        <v>20150766</v>
      </c>
      <c r="C1352" s="61" t="s">
        <v>177</v>
      </c>
      <c r="D1352" s="60" t="s">
        <v>7</v>
      </c>
      <c r="E1352" s="59" t="s">
        <v>1993</v>
      </c>
      <c r="F1352" s="62"/>
    </row>
    <row r="1353" s="49" customFormat="1" spans="1:6">
      <c r="A1353" s="56" t="s">
        <v>1991</v>
      </c>
      <c r="B1353" s="64">
        <v>20150482</v>
      </c>
      <c r="C1353" s="61" t="s">
        <v>177</v>
      </c>
      <c r="D1353" s="60" t="s">
        <v>7</v>
      </c>
      <c r="E1353" s="59" t="s">
        <v>1993</v>
      </c>
      <c r="F1353" s="62"/>
    </row>
    <row r="1354" s="49" customFormat="1" spans="1:6">
      <c r="A1354" s="56" t="s">
        <v>1991</v>
      </c>
      <c r="B1354" s="64">
        <v>20150679</v>
      </c>
      <c r="C1354" s="61" t="s">
        <v>177</v>
      </c>
      <c r="D1354" s="60" t="s">
        <v>7</v>
      </c>
      <c r="E1354" s="59" t="s">
        <v>1993</v>
      </c>
      <c r="F1354" s="62"/>
    </row>
    <row r="1355" s="49" customFormat="1" spans="1:6">
      <c r="A1355" s="56" t="s">
        <v>1991</v>
      </c>
      <c r="B1355" s="64">
        <v>20150568</v>
      </c>
      <c r="C1355" s="61" t="s">
        <v>177</v>
      </c>
      <c r="D1355" s="60" t="s">
        <v>7</v>
      </c>
      <c r="E1355" s="59" t="s">
        <v>1993</v>
      </c>
      <c r="F1355" s="62"/>
    </row>
    <row r="1356" s="49" customFormat="1" spans="1:6">
      <c r="A1356" s="56" t="s">
        <v>1991</v>
      </c>
      <c r="B1356" s="64">
        <v>20150982</v>
      </c>
      <c r="C1356" s="61" t="s">
        <v>177</v>
      </c>
      <c r="D1356" s="60" t="s">
        <v>7</v>
      </c>
      <c r="E1356" s="59" t="s">
        <v>1993</v>
      </c>
      <c r="F1356" s="62"/>
    </row>
    <row r="1357" s="49" customFormat="1" spans="1:6">
      <c r="A1357" s="56" t="s">
        <v>1991</v>
      </c>
      <c r="B1357" s="60" t="s">
        <v>3507</v>
      </c>
      <c r="C1357" s="61" t="s">
        <v>177</v>
      </c>
      <c r="D1357" s="60" t="s">
        <v>7</v>
      </c>
      <c r="E1357" s="59" t="s">
        <v>1993</v>
      </c>
      <c r="F1357" s="62"/>
    </row>
    <row r="1358" s="49" customFormat="1" spans="1:6">
      <c r="A1358" s="56" t="s">
        <v>1991</v>
      </c>
      <c r="B1358" s="60" t="s">
        <v>3508</v>
      </c>
      <c r="C1358" s="61" t="s">
        <v>177</v>
      </c>
      <c r="D1358" s="60" t="s">
        <v>7</v>
      </c>
      <c r="E1358" s="59" t="s">
        <v>1993</v>
      </c>
      <c r="F1358" s="62"/>
    </row>
    <row r="1359" s="49" customFormat="1" spans="1:6">
      <c r="A1359" s="56" t="s">
        <v>1991</v>
      </c>
      <c r="B1359" s="60" t="s">
        <v>3509</v>
      </c>
      <c r="C1359" s="61" t="s">
        <v>177</v>
      </c>
      <c r="D1359" s="60" t="s">
        <v>7</v>
      </c>
      <c r="E1359" s="59" t="s">
        <v>1993</v>
      </c>
      <c r="F1359" s="62"/>
    </row>
    <row r="1360" s="49" customFormat="1" spans="1:6">
      <c r="A1360" s="56" t="s">
        <v>1991</v>
      </c>
      <c r="B1360" s="60" t="s">
        <v>3510</v>
      </c>
      <c r="C1360" s="61" t="s">
        <v>177</v>
      </c>
      <c r="D1360" s="60" t="s">
        <v>7</v>
      </c>
      <c r="E1360" s="59" t="s">
        <v>1993</v>
      </c>
      <c r="F1360" s="62"/>
    </row>
    <row r="1361" s="49" customFormat="1" spans="1:6">
      <c r="A1361" s="56" t="s">
        <v>1991</v>
      </c>
      <c r="B1361" s="60" t="s">
        <v>3511</v>
      </c>
      <c r="C1361" s="61" t="s">
        <v>177</v>
      </c>
      <c r="D1361" s="60" t="s">
        <v>7</v>
      </c>
      <c r="E1361" s="59" t="s">
        <v>1993</v>
      </c>
      <c r="F1361" s="62"/>
    </row>
    <row r="1362" s="49" customFormat="1" spans="1:6">
      <c r="A1362" s="56" t="s">
        <v>1991</v>
      </c>
      <c r="B1362" s="60" t="s">
        <v>3512</v>
      </c>
      <c r="C1362" s="61" t="s">
        <v>177</v>
      </c>
      <c r="D1362" s="60" t="s">
        <v>7</v>
      </c>
      <c r="E1362" s="59" t="s">
        <v>1993</v>
      </c>
      <c r="F1362" s="62"/>
    </row>
    <row r="1363" s="49" customFormat="1" spans="1:6">
      <c r="A1363" s="56" t="s">
        <v>1991</v>
      </c>
      <c r="B1363" s="60" t="s">
        <v>3513</v>
      </c>
      <c r="C1363" s="61" t="s">
        <v>177</v>
      </c>
      <c r="D1363" s="60" t="s">
        <v>7</v>
      </c>
      <c r="E1363" s="59" t="s">
        <v>1993</v>
      </c>
      <c r="F1363" s="62"/>
    </row>
    <row r="1364" s="49" customFormat="1" spans="1:6">
      <c r="A1364" s="56" t="s">
        <v>1991</v>
      </c>
      <c r="B1364" s="60" t="s">
        <v>3514</v>
      </c>
      <c r="C1364" s="61" t="s">
        <v>177</v>
      </c>
      <c r="D1364" s="60" t="s">
        <v>7</v>
      </c>
      <c r="E1364" s="59" t="s">
        <v>1993</v>
      </c>
      <c r="F1364" s="62"/>
    </row>
    <row r="1365" s="49" customFormat="1" spans="1:6">
      <c r="A1365" s="56" t="s">
        <v>1991</v>
      </c>
      <c r="B1365" s="60" t="s">
        <v>3515</v>
      </c>
      <c r="C1365" s="61" t="s">
        <v>177</v>
      </c>
      <c r="D1365" s="60" t="s">
        <v>7</v>
      </c>
      <c r="E1365" s="59" t="s">
        <v>1993</v>
      </c>
      <c r="F1365" s="62"/>
    </row>
    <row r="1366" s="49" customFormat="1" spans="1:6">
      <c r="A1366" s="56" t="s">
        <v>1991</v>
      </c>
      <c r="B1366" s="60" t="s">
        <v>3516</v>
      </c>
      <c r="C1366" s="61" t="s">
        <v>177</v>
      </c>
      <c r="D1366" s="60" t="s">
        <v>7</v>
      </c>
      <c r="E1366" s="59" t="s">
        <v>1993</v>
      </c>
      <c r="F1366" s="62"/>
    </row>
    <row r="1367" s="49" customFormat="1" spans="1:6">
      <c r="A1367" s="56" t="s">
        <v>1991</v>
      </c>
      <c r="B1367" s="60" t="s">
        <v>3517</v>
      </c>
      <c r="C1367" s="61" t="s">
        <v>177</v>
      </c>
      <c r="D1367" s="60" t="s">
        <v>7</v>
      </c>
      <c r="E1367" s="59" t="s">
        <v>1993</v>
      </c>
      <c r="F1367" s="62"/>
    </row>
    <row r="1368" s="49" customFormat="1" spans="1:6">
      <c r="A1368" s="56" t="s">
        <v>1991</v>
      </c>
      <c r="B1368" s="60" t="s">
        <v>3518</v>
      </c>
      <c r="C1368" s="61" t="s">
        <v>177</v>
      </c>
      <c r="D1368" s="60" t="s">
        <v>7</v>
      </c>
      <c r="E1368" s="59" t="s">
        <v>1993</v>
      </c>
      <c r="F1368" s="62"/>
    </row>
    <row r="1369" s="49" customFormat="1" spans="1:6">
      <c r="A1369" s="56" t="s">
        <v>1991</v>
      </c>
      <c r="B1369" s="60" t="s">
        <v>3519</v>
      </c>
      <c r="C1369" s="61" t="s">
        <v>177</v>
      </c>
      <c r="D1369" s="60" t="s">
        <v>7</v>
      </c>
      <c r="E1369" s="59" t="s">
        <v>1993</v>
      </c>
      <c r="F1369" s="62"/>
    </row>
    <row r="1370" s="49" customFormat="1" spans="1:6">
      <c r="A1370" s="56" t="s">
        <v>1991</v>
      </c>
      <c r="B1370" s="60" t="s">
        <v>3520</v>
      </c>
      <c r="C1370" s="61" t="s">
        <v>3156</v>
      </c>
      <c r="D1370" s="60" t="s">
        <v>7</v>
      </c>
      <c r="E1370" s="59" t="s">
        <v>1993</v>
      </c>
      <c r="F1370" s="62"/>
    </row>
    <row r="1371" s="49" customFormat="1" spans="1:6">
      <c r="A1371" s="56" t="s">
        <v>1991</v>
      </c>
      <c r="B1371" s="60" t="s">
        <v>3521</v>
      </c>
      <c r="C1371" s="61" t="s">
        <v>177</v>
      </c>
      <c r="D1371" s="60" t="s">
        <v>7</v>
      </c>
      <c r="E1371" s="59" t="s">
        <v>1993</v>
      </c>
      <c r="F1371" s="62"/>
    </row>
    <row r="1372" s="49" customFormat="1" spans="1:6">
      <c r="A1372" s="56" t="s">
        <v>1991</v>
      </c>
      <c r="B1372" s="60" t="s">
        <v>3522</v>
      </c>
      <c r="C1372" s="61" t="s">
        <v>177</v>
      </c>
      <c r="D1372" s="60" t="s">
        <v>7</v>
      </c>
      <c r="E1372" s="59" t="s">
        <v>1993</v>
      </c>
      <c r="F1372" s="62"/>
    </row>
    <row r="1373" s="49" customFormat="1" spans="1:6">
      <c r="A1373" s="56" t="s">
        <v>1991</v>
      </c>
      <c r="B1373" s="60" t="s">
        <v>3523</v>
      </c>
      <c r="C1373" s="61" t="s">
        <v>177</v>
      </c>
      <c r="D1373" s="60" t="s">
        <v>7</v>
      </c>
      <c r="E1373" s="59" t="s">
        <v>1993</v>
      </c>
      <c r="F1373" s="62"/>
    </row>
    <row r="1374" s="49" customFormat="1" spans="1:6">
      <c r="A1374" s="56" t="s">
        <v>1991</v>
      </c>
      <c r="B1374" s="60" t="s">
        <v>3524</v>
      </c>
      <c r="C1374" s="61" t="s">
        <v>177</v>
      </c>
      <c r="D1374" s="60" t="s">
        <v>7</v>
      </c>
      <c r="E1374" s="59" t="s">
        <v>1993</v>
      </c>
      <c r="F1374" s="62"/>
    </row>
    <row r="1375" s="49" customFormat="1" spans="1:6">
      <c r="A1375" s="56" t="s">
        <v>1991</v>
      </c>
      <c r="B1375" s="60" t="s">
        <v>3525</v>
      </c>
      <c r="C1375" s="61" t="s">
        <v>177</v>
      </c>
      <c r="D1375" s="60" t="s">
        <v>7</v>
      </c>
      <c r="E1375" s="59" t="s">
        <v>1993</v>
      </c>
      <c r="F1375" s="62"/>
    </row>
    <row r="1376" s="49" customFormat="1" spans="1:6">
      <c r="A1376" s="56" t="s">
        <v>1991</v>
      </c>
      <c r="B1376" s="60" t="s">
        <v>3526</v>
      </c>
      <c r="C1376" s="61" t="s">
        <v>177</v>
      </c>
      <c r="D1376" s="60" t="s">
        <v>7</v>
      </c>
      <c r="E1376" s="59" t="s">
        <v>1993</v>
      </c>
      <c r="F1376" s="62"/>
    </row>
    <row r="1377" s="49" customFormat="1" spans="1:6">
      <c r="A1377" s="56" t="s">
        <v>1991</v>
      </c>
      <c r="B1377" s="60" t="s">
        <v>3527</v>
      </c>
      <c r="C1377" s="61" t="s">
        <v>177</v>
      </c>
      <c r="D1377" s="60" t="s">
        <v>7</v>
      </c>
      <c r="E1377" s="59" t="s">
        <v>1993</v>
      </c>
      <c r="F1377" s="62"/>
    </row>
    <row r="1378" s="49" customFormat="1" spans="1:6">
      <c r="A1378" s="56" t="s">
        <v>1991</v>
      </c>
      <c r="B1378" s="60" t="s">
        <v>3528</v>
      </c>
      <c r="C1378" s="61" t="s">
        <v>177</v>
      </c>
      <c r="D1378" s="60" t="s">
        <v>7</v>
      </c>
      <c r="E1378" s="59" t="s">
        <v>1993</v>
      </c>
      <c r="F1378" s="62"/>
    </row>
    <row r="1379" s="49" customFormat="1" spans="1:6">
      <c r="A1379" s="56" t="s">
        <v>1991</v>
      </c>
      <c r="B1379" s="60" t="s">
        <v>3529</v>
      </c>
      <c r="C1379" s="61" t="s">
        <v>177</v>
      </c>
      <c r="D1379" s="60" t="s">
        <v>7</v>
      </c>
      <c r="E1379" s="59" t="s">
        <v>1993</v>
      </c>
      <c r="F1379" s="62"/>
    </row>
    <row r="1380" s="49" customFormat="1" spans="1:6">
      <c r="A1380" s="56" t="s">
        <v>1991</v>
      </c>
      <c r="B1380" s="60" t="s">
        <v>3530</v>
      </c>
      <c r="C1380" s="61" t="s">
        <v>96</v>
      </c>
      <c r="D1380" s="60" t="s">
        <v>7</v>
      </c>
      <c r="E1380" s="59" t="s">
        <v>1993</v>
      </c>
      <c r="F1380" s="62"/>
    </row>
    <row r="1381" s="49" customFormat="1" spans="1:6">
      <c r="A1381" s="56" t="s">
        <v>1991</v>
      </c>
      <c r="B1381" s="60" t="s">
        <v>3531</v>
      </c>
      <c r="C1381" s="61" t="s">
        <v>96</v>
      </c>
      <c r="D1381" s="60" t="s">
        <v>7</v>
      </c>
      <c r="E1381" s="59" t="s">
        <v>1993</v>
      </c>
      <c r="F1381" s="62"/>
    </row>
    <row r="1382" s="49" customFormat="1" spans="1:6">
      <c r="A1382" s="56" t="s">
        <v>1991</v>
      </c>
      <c r="B1382" s="60">
        <v>20171204</v>
      </c>
      <c r="C1382" s="61" t="s">
        <v>177</v>
      </c>
      <c r="D1382" s="60" t="s">
        <v>7</v>
      </c>
      <c r="E1382" s="59" t="s">
        <v>1993</v>
      </c>
      <c r="F1382" s="62"/>
    </row>
    <row r="1383" spans="1:6">
      <c r="A1383" s="56" t="s">
        <v>1991</v>
      </c>
      <c r="B1383" s="65" t="str">
        <f>TEXT("20051079",REPT(0,8))</f>
        <v>20051079</v>
      </c>
      <c r="C1383" s="65" t="s">
        <v>305</v>
      </c>
      <c r="D1383" s="60" t="s">
        <v>7</v>
      </c>
      <c r="E1383" s="59" t="s">
        <v>1993</v>
      </c>
      <c r="F1383" s="63"/>
    </row>
    <row r="1384" spans="1:6">
      <c r="A1384" s="56" t="s">
        <v>1991</v>
      </c>
      <c r="B1384" s="65" t="str">
        <f>TEXT("20051080",REPT(0,8))</f>
        <v>20051080</v>
      </c>
      <c r="C1384" s="65" t="s">
        <v>305</v>
      </c>
      <c r="D1384" s="60" t="s">
        <v>7</v>
      </c>
      <c r="E1384" s="59" t="s">
        <v>1993</v>
      </c>
      <c r="F1384" s="63"/>
    </row>
    <row r="1385" spans="1:6">
      <c r="A1385" s="56" t="s">
        <v>1991</v>
      </c>
      <c r="B1385" s="65" t="str">
        <f>TEXT("20130284",REPT(0,8))</f>
        <v>20130284</v>
      </c>
      <c r="C1385" s="65" t="s">
        <v>305</v>
      </c>
      <c r="D1385" s="60" t="s">
        <v>7</v>
      </c>
      <c r="E1385" s="59" t="s">
        <v>1993</v>
      </c>
      <c r="F1385" s="63">
        <v>4205</v>
      </c>
    </row>
    <row r="1386" spans="1:6">
      <c r="A1386" s="56" t="s">
        <v>1991</v>
      </c>
      <c r="B1386" s="65" t="str">
        <f>TEXT("20060456",REPT(0,8))</f>
        <v>20060456</v>
      </c>
      <c r="C1386" s="65" t="s">
        <v>305</v>
      </c>
      <c r="D1386" s="60" t="s">
        <v>7</v>
      </c>
      <c r="E1386" s="59" t="s">
        <v>1993</v>
      </c>
      <c r="F1386" s="63"/>
    </row>
    <row r="1387" spans="1:6">
      <c r="A1387" s="56" t="s">
        <v>1991</v>
      </c>
      <c r="B1387" s="65" t="str">
        <f>TEXT("20110346",REPT(0,8))</f>
        <v>20110346</v>
      </c>
      <c r="C1387" s="65" t="s">
        <v>305</v>
      </c>
      <c r="D1387" s="60" t="s">
        <v>7</v>
      </c>
      <c r="E1387" s="59" t="s">
        <v>1993</v>
      </c>
      <c r="F1387" s="63"/>
    </row>
    <row r="1388" spans="1:6">
      <c r="A1388" s="56" t="s">
        <v>1991</v>
      </c>
      <c r="B1388" s="65" t="str">
        <f>TEXT("20110347",REPT(0,8))</f>
        <v>20110347</v>
      </c>
      <c r="C1388" s="65" t="s">
        <v>305</v>
      </c>
      <c r="D1388" s="60" t="s">
        <v>7</v>
      </c>
      <c r="E1388" s="59" t="s">
        <v>1993</v>
      </c>
      <c r="F1388" s="63">
        <v>6205</v>
      </c>
    </row>
    <row r="1389" spans="1:6">
      <c r="A1389" s="56" t="s">
        <v>1991</v>
      </c>
      <c r="B1389" s="65" t="str">
        <f>TEXT("20130285",REPT(0,8))</f>
        <v>20130285</v>
      </c>
      <c r="C1389" s="65" t="s">
        <v>305</v>
      </c>
      <c r="D1389" s="60" t="s">
        <v>7</v>
      </c>
      <c r="E1389" s="59" t="s">
        <v>1993</v>
      </c>
      <c r="F1389" s="63">
        <v>6216</v>
      </c>
    </row>
    <row r="1390" spans="1:6">
      <c r="A1390" s="56" t="s">
        <v>1991</v>
      </c>
      <c r="B1390" s="65" t="str">
        <f>TEXT("20080351",REPT(0,8))</f>
        <v>20080351</v>
      </c>
      <c r="C1390" s="65" t="s">
        <v>305</v>
      </c>
      <c r="D1390" s="60" t="s">
        <v>7</v>
      </c>
      <c r="E1390" s="59" t="s">
        <v>1993</v>
      </c>
      <c r="F1390" s="63"/>
    </row>
    <row r="1391" spans="1:6">
      <c r="A1391" s="56" t="s">
        <v>1991</v>
      </c>
      <c r="B1391" s="65" t="str">
        <f>TEXT("20080352",REPT(0,8))</f>
        <v>20080352</v>
      </c>
      <c r="C1391" s="65" t="s">
        <v>305</v>
      </c>
      <c r="D1391" s="60" t="s">
        <v>7</v>
      </c>
      <c r="E1391" s="59" t="s">
        <v>1993</v>
      </c>
      <c r="F1391" s="63"/>
    </row>
    <row r="1392" spans="1:6">
      <c r="A1392" s="56" t="s">
        <v>1991</v>
      </c>
      <c r="B1392" s="65" t="str">
        <f>TEXT("20070188",REPT(0,8))</f>
        <v>20070188</v>
      </c>
      <c r="C1392" s="65" t="s">
        <v>49</v>
      </c>
      <c r="D1392" s="60" t="s">
        <v>7</v>
      </c>
      <c r="E1392" s="59" t="s">
        <v>1993</v>
      </c>
      <c r="F1392" s="63"/>
    </row>
    <row r="1393" spans="1:6">
      <c r="A1393" s="56" t="s">
        <v>1991</v>
      </c>
      <c r="B1393" s="65" t="str">
        <f>TEXT("20080353",REPT(0,8))</f>
        <v>20080353</v>
      </c>
      <c r="C1393" s="65" t="s">
        <v>305</v>
      </c>
      <c r="D1393" s="60" t="s">
        <v>7</v>
      </c>
      <c r="E1393" s="59" t="s">
        <v>1993</v>
      </c>
      <c r="F1393" s="63"/>
    </row>
    <row r="1394" spans="1:6">
      <c r="A1394" s="56" t="s">
        <v>1991</v>
      </c>
      <c r="B1394" s="65" t="str">
        <f>TEXT("20080354",REPT(0,8))</f>
        <v>20080354</v>
      </c>
      <c r="C1394" s="65" t="s">
        <v>305</v>
      </c>
      <c r="D1394" s="60" t="s">
        <v>7</v>
      </c>
      <c r="E1394" s="59" t="s">
        <v>1993</v>
      </c>
      <c r="F1394" s="63"/>
    </row>
    <row r="1395" spans="1:6">
      <c r="A1395" s="56" t="s">
        <v>1991</v>
      </c>
      <c r="B1395" s="65" t="str">
        <f>TEXT("20040280",REPT(0,8))</f>
        <v>20040280</v>
      </c>
      <c r="C1395" s="65" t="s">
        <v>305</v>
      </c>
      <c r="D1395" s="60" t="s">
        <v>7</v>
      </c>
      <c r="E1395" s="59" t="s">
        <v>1993</v>
      </c>
      <c r="F1395" s="63"/>
    </row>
    <row r="1396" spans="1:6">
      <c r="A1396" s="56" t="s">
        <v>1991</v>
      </c>
      <c r="B1396" s="65" t="str">
        <f>TEXT("20160010",REPT(0,8))</f>
        <v>20160010</v>
      </c>
      <c r="C1396" s="65" t="s">
        <v>49</v>
      </c>
      <c r="D1396" s="60" t="s">
        <v>7</v>
      </c>
      <c r="E1396" s="59" t="s">
        <v>1993</v>
      </c>
      <c r="F1396" s="63" t="s">
        <v>3532</v>
      </c>
    </row>
    <row r="1397" spans="1:6">
      <c r="A1397" s="56" t="s">
        <v>1991</v>
      </c>
      <c r="B1397" s="65" t="str">
        <f>TEXT("20110348",REPT(0,8))</f>
        <v>20110348</v>
      </c>
      <c r="C1397" s="65" t="s">
        <v>305</v>
      </c>
      <c r="D1397" s="60" t="s">
        <v>7</v>
      </c>
      <c r="E1397" s="59" t="s">
        <v>1993</v>
      </c>
      <c r="F1397" s="63">
        <v>6108</v>
      </c>
    </row>
    <row r="1398" spans="1:6">
      <c r="A1398" s="56" t="s">
        <v>1991</v>
      </c>
      <c r="B1398" s="65" t="str">
        <f>TEXT("20110350",REPT(0,8))</f>
        <v>20110350</v>
      </c>
      <c r="C1398" s="65" t="s">
        <v>305</v>
      </c>
      <c r="D1398" s="60" t="s">
        <v>7</v>
      </c>
      <c r="E1398" s="59" t="s">
        <v>1993</v>
      </c>
      <c r="F1398" s="63"/>
    </row>
    <row r="1399" spans="1:6">
      <c r="A1399" s="56" t="s">
        <v>1991</v>
      </c>
      <c r="B1399" s="65" t="str">
        <f>TEXT("20151011",REPT(0,8))</f>
        <v>20151011</v>
      </c>
      <c r="C1399" s="65" t="s">
        <v>177</v>
      </c>
      <c r="D1399" s="60" t="s">
        <v>7</v>
      </c>
      <c r="E1399" s="59" t="s">
        <v>1993</v>
      </c>
      <c r="F1399" s="63"/>
    </row>
    <row r="1400" spans="1:6">
      <c r="A1400" s="56" t="s">
        <v>1991</v>
      </c>
      <c r="B1400" s="65" t="str">
        <f>TEXT("20090401",REPT(0,8))</f>
        <v>20090401</v>
      </c>
      <c r="C1400" s="65" t="s">
        <v>1853</v>
      </c>
      <c r="D1400" s="60" t="s">
        <v>7</v>
      </c>
      <c r="E1400" s="59" t="s">
        <v>1993</v>
      </c>
      <c r="F1400" s="63" t="s">
        <v>3533</v>
      </c>
    </row>
    <row r="1401" spans="1:6">
      <c r="A1401" s="56" t="s">
        <v>1991</v>
      </c>
      <c r="B1401" s="65" t="str">
        <f>TEXT("20170356",REPT(0,8))</f>
        <v>20170356</v>
      </c>
      <c r="C1401" s="65" t="s">
        <v>305</v>
      </c>
      <c r="D1401" s="60" t="s">
        <v>7</v>
      </c>
      <c r="E1401" s="59" t="s">
        <v>1993</v>
      </c>
      <c r="F1401" s="66"/>
    </row>
    <row r="1402" spans="1:6">
      <c r="A1402" s="56" t="s">
        <v>1991</v>
      </c>
      <c r="B1402" s="65" t="str">
        <f>TEXT("20170357",REPT(0,8))</f>
        <v>20170357</v>
      </c>
      <c r="C1402" s="65" t="s">
        <v>305</v>
      </c>
      <c r="D1402" s="60" t="s">
        <v>7</v>
      </c>
      <c r="E1402" s="59" t="s">
        <v>1993</v>
      </c>
      <c r="F1402" s="66"/>
    </row>
    <row r="1403" spans="1:6">
      <c r="A1403" s="56" t="s">
        <v>1991</v>
      </c>
      <c r="B1403" s="65" t="str">
        <f>TEXT("20060457",REPT(0,8))</f>
        <v>20060457</v>
      </c>
      <c r="C1403" s="65" t="s">
        <v>305</v>
      </c>
      <c r="D1403" s="60" t="s">
        <v>7</v>
      </c>
      <c r="E1403" s="59" t="s">
        <v>1993</v>
      </c>
      <c r="F1403" s="66"/>
    </row>
    <row r="1404" spans="1:6">
      <c r="A1404" s="56" t="s">
        <v>1991</v>
      </c>
      <c r="B1404" s="65" t="str">
        <f>TEXT("20121382",REPT(0,8))</f>
        <v>20121382</v>
      </c>
      <c r="C1404" s="65" t="s">
        <v>305</v>
      </c>
      <c r="D1404" s="60" t="s">
        <v>7</v>
      </c>
      <c r="E1404" s="59" t="s">
        <v>1993</v>
      </c>
      <c r="F1404" s="66"/>
    </row>
    <row r="1405" spans="1:6">
      <c r="A1405" s="56" t="s">
        <v>1991</v>
      </c>
      <c r="B1405" s="65" t="str">
        <f>TEXT("20200001",REPT(0,8))</f>
        <v>20200001</v>
      </c>
      <c r="C1405" s="65" t="s">
        <v>305</v>
      </c>
      <c r="D1405" s="60" t="s">
        <v>7</v>
      </c>
      <c r="E1405" s="59" t="s">
        <v>1993</v>
      </c>
      <c r="F1405" s="66"/>
    </row>
    <row r="1406" spans="1:6">
      <c r="A1406" s="56" t="s">
        <v>1991</v>
      </c>
      <c r="B1406" s="65" t="str">
        <f>TEXT("20160202",REPT(0,8))</f>
        <v>20160202</v>
      </c>
      <c r="C1406" s="65" t="s">
        <v>3534</v>
      </c>
      <c r="D1406" s="60" t="s">
        <v>7</v>
      </c>
      <c r="E1406" s="59" t="s">
        <v>1993</v>
      </c>
      <c r="F1406" s="66"/>
    </row>
    <row r="1407" spans="1:6">
      <c r="A1407" s="56" t="s">
        <v>1991</v>
      </c>
      <c r="B1407" s="65" t="str">
        <f>TEXT("20160203",REPT(0,8))</f>
        <v>20160203</v>
      </c>
      <c r="C1407" s="65" t="s">
        <v>3534</v>
      </c>
      <c r="D1407" s="60" t="s">
        <v>7</v>
      </c>
      <c r="E1407" s="59" t="s">
        <v>1993</v>
      </c>
      <c r="F1407" s="66"/>
    </row>
    <row r="1408" spans="1:6">
      <c r="A1408" s="56" t="s">
        <v>1991</v>
      </c>
      <c r="B1408" s="65" t="str">
        <f>TEXT("20160205",REPT(0,8))</f>
        <v>20160205</v>
      </c>
      <c r="C1408" s="65" t="s">
        <v>3534</v>
      </c>
      <c r="D1408" s="60" t="s">
        <v>7</v>
      </c>
      <c r="E1408" s="59" t="s">
        <v>1993</v>
      </c>
      <c r="F1408" s="66"/>
    </row>
    <row r="1409" spans="1:6">
      <c r="A1409" s="56" t="s">
        <v>1991</v>
      </c>
      <c r="B1409" s="65" t="str">
        <f>TEXT("20160206",REPT(0,8))</f>
        <v>20160206</v>
      </c>
      <c r="C1409" s="65" t="s">
        <v>3534</v>
      </c>
      <c r="D1409" s="60" t="s">
        <v>7</v>
      </c>
      <c r="E1409" s="59" t="s">
        <v>1993</v>
      </c>
      <c r="F1409" s="66"/>
    </row>
    <row r="1410" spans="1:6">
      <c r="A1410" s="56" t="s">
        <v>1991</v>
      </c>
      <c r="B1410" s="65" t="str">
        <f>TEXT("20160201",REPT(0,8))</f>
        <v>20160201</v>
      </c>
      <c r="C1410" s="65" t="s">
        <v>3534</v>
      </c>
      <c r="D1410" s="60" t="s">
        <v>7</v>
      </c>
      <c r="E1410" s="59" t="s">
        <v>1993</v>
      </c>
      <c r="F1410" s="66"/>
    </row>
    <row r="1411" spans="1:6">
      <c r="A1411" s="56" t="s">
        <v>1991</v>
      </c>
      <c r="B1411" s="65" t="str">
        <f>TEXT("20160196",REPT(0,8))</f>
        <v>20160196</v>
      </c>
      <c r="C1411" s="65" t="s">
        <v>3534</v>
      </c>
      <c r="D1411" s="60" t="s">
        <v>7</v>
      </c>
      <c r="E1411" s="59" t="s">
        <v>1993</v>
      </c>
      <c r="F1411" s="66"/>
    </row>
    <row r="1412" spans="1:6">
      <c r="A1412" s="56" t="s">
        <v>1991</v>
      </c>
      <c r="B1412" s="65" t="str">
        <f>TEXT("20160197",REPT(0,8))</f>
        <v>20160197</v>
      </c>
      <c r="C1412" s="65" t="s">
        <v>3534</v>
      </c>
      <c r="D1412" s="60" t="s">
        <v>7</v>
      </c>
      <c r="E1412" s="59" t="s">
        <v>1993</v>
      </c>
      <c r="F1412" s="66"/>
    </row>
    <row r="1413" spans="1:6">
      <c r="A1413" s="56" t="s">
        <v>1991</v>
      </c>
      <c r="B1413" s="65" t="str">
        <f>TEXT("20160198",REPT(0,8))</f>
        <v>20160198</v>
      </c>
      <c r="C1413" s="65" t="s">
        <v>3534</v>
      </c>
      <c r="D1413" s="60" t="s">
        <v>7</v>
      </c>
      <c r="E1413" s="59" t="s">
        <v>1993</v>
      </c>
      <c r="F1413" s="66"/>
    </row>
    <row r="1414" spans="1:6">
      <c r="A1414" s="56" t="s">
        <v>1991</v>
      </c>
      <c r="B1414" s="65" t="str">
        <f>TEXT("20160199",REPT(0,8))</f>
        <v>20160199</v>
      </c>
      <c r="C1414" s="65" t="s">
        <v>3534</v>
      </c>
      <c r="D1414" s="60" t="s">
        <v>7</v>
      </c>
      <c r="E1414" s="59" t="s">
        <v>1993</v>
      </c>
      <c r="F1414" s="66"/>
    </row>
    <row r="1415" spans="1:6">
      <c r="A1415" s="56" t="s">
        <v>1991</v>
      </c>
      <c r="B1415" s="65" t="str">
        <f>TEXT("20160192",REPT(0,8))</f>
        <v>20160192</v>
      </c>
      <c r="C1415" s="65" t="s">
        <v>3534</v>
      </c>
      <c r="D1415" s="60" t="s">
        <v>7</v>
      </c>
      <c r="E1415" s="59" t="s">
        <v>1993</v>
      </c>
      <c r="F1415" s="66"/>
    </row>
    <row r="1416" spans="1:6">
      <c r="A1416" s="56" t="s">
        <v>1991</v>
      </c>
      <c r="B1416" s="65" t="str">
        <f>TEXT("20160193",REPT(0,8))</f>
        <v>20160193</v>
      </c>
      <c r="C1416" s="65" t="s">
        <v>3534</v>
      </c>
      <c r="D1416" s="60" t="s">
        <v>7</v>
      </c>
      <c r="E1416" s="59" t="s">
        <v>1993</v>
      </c>
      <c r="F1416" s="66"/>
    </row>
    <row r="1417" spans="1:6">
      <c r="A1417" s="56" t="s">
        <v>1991</v>
      </c>
      <c r="B1417" s="65" t="str">
        <f>TEXT("20160194",REPT(0,8))</f>
        <v>20160194</v>
      </c>
      <c r="C1417" s="65" t="s">
        <v>3534</v>
      </c>
      <c r="D1417" s="60" t="s">
        <v>7</v>
      </c>
      <c r="E1417" s="59" t="s">
        <v>1993</v>
      </c>
      <c r="F1417" s="66"/>
    </row>
    <row r="1418" spans="1:6">
      <c r="A1418" s="56" t="s">
        <v>1991</v>
      </c>
      <c r="B1418" s="65" t="str">
        <f>TEXT("20160195",REPT(0,8))</f>
        <v>20160195</v>
      </c>
      <c r="C1418" s="65" t="s">
        <v>3534</v>
      </c>
      <c r="D1418" s="60" t="s">
        <v>7</v>
      </c>
      <c r="E1418" s="59" t="s">
        <v>1993</v>
      </c>
      <c r="F1418" s="66"/>
    </row>
    <row r="1419" spans="1:6">
      <c r="A1419" s="56" t="s">
        <v>1991</v>
      </c>
      <c r="B1419" s="65" t="str">
        <f>TEXT("20160188",REPT(0,8))</f>
        <v>20160188</v>
      </c>
      <c r="C1419" s="65" t="s">
        <v>3534</v>
      </c>
      <c r="D1419" s="60" t="s">
        <v>7</v>
      </c>
      <c r="E1419" s="59" t="s">
        <v>1993</v>
      </c>
      <c r="F1419" s="66"/>
    </row>
    <row r="1420" spans="1:6">
      <c r="A1420" s="56" t="s">
        <v>1991</v>
      </c>
      <c r="B1420" s="65" t="str">
        <f>TEXT("20160189",REPT(0,8))</f>
        <v>20160189</v>
      </c>
      <c r="C1420" s="65" t="s">
        <v>3534</v>
      </c>
      <c r="D1420" s="60" t="s">
        <v>7</v>
      </c>
      <c r="E1420" s="59" t="s">
        <v>1993</v>
      </c>
      <c r="F1420" s="66"/>
    </row>
    <row r="1421" spans="1:6">
      <c r="A1421" s="56" t="s">
        <v>1991</v>
      </c>
      <c r="B1421" s="65" t="str">
        <f>TEXT("20160190",REPT(0,8))</f>
        <v>20160190</v>
      </c>
      <c r="C1421" s="65" t="s">
        <v>3534</v>
      </c>
      <c r="D1421" s="60" t="s">
        <v>7</v>
      </c>
      <c r="E1421" s="59" t="s">
        <v>1993</v>
      </c>
      <c r="F1421" s="66"/>
    </row>
    <row r="1422" spans="1:6">
      <c r="A1422" s="56" t="s">
        <v>1991</v>
      </c>
      <c r="B1422" s="65" t="str">
        <f>TEXT("20160191",REPT(0,8))</f>
        <v>20160191</v>
      </c>
      <c r="C1422" s="65" t="s">
        <v>3534</v>
      </c>
      <c r="D1422" s="60" t="s">
        <v>7</v>
      </c>
      <c r="E1422" s="59" t="s">
        <v>1993</v>
      </c>
      <c r="F1422" s="66"/>
    </row>
    <row r="1423" spans="1:5">
      <c r="A1423" s="56" t="s">
        <v>1991</v>
      </c>
      <c r="B1423" s="67"/>
      <c r="C1423" s="48" t="s">
        <v>234</v>
      </c>
      <c r="D1423" s="48" t="s">
        <v>7</v>
      </c>
      <c r="E1423" s="59" t="s">
        <v>1993</v>
      </c>
    </row>
    <row r="1424" spans="1:6">
      <c r="A1424" s="56" t="s">
        <v>1991</v>
      </c>
      <c r="B1424" s="67"/>
      <c r="C1424" s="48" t="s">
        <v>234</v>
      </c>
      <c r="D1424" s="48" t="s">
        <v>7</v>
      </c>
      <c r="E1424" s="59" t="s">
        <v>1993</v>
      </c>
      <c r="F1424" s="1"/>
    </row>
    <row r="1425" spans="1:6">
      <c r="A1425" s="56" t="s">
        <v>1991</v>
      </c>
      <c r="B1425" s="67"/>
      <c r="C1425" s="48" t="s">
        <v>234</v>
      </c>
      <c r="D1425" s="48" t="s">
        <v>7</v>
      </c>
      <c r="E1425" s="59" t="s">
        <v>1993</v>
      </c>
      <c r="F1425" s="1"/>
    </row>
    <row r="1426" spans="1:6">
      <c r="A1426" s="56" t="s">
        <v>1991</v>
      </c>
      <c r="B1426" s="67"/>
      <c r="C1426" s="48" t="s">
        <v>3535</v>
      </c>
      <c r="D1426" s="48" t="s">
        <v>7</v>
      </c>
      <c r="E1426" s="59" t="s">
        <v>1993</v>
      </c>
      <c r="F1426" s="1"/>
    </row>
    <row r="1427" spans="1:6">
      <c r="A1427" s="56" t="s">
        <v>1991</v>
      </c>
      <c r="B1427" s="67"/>
      <c r="C1427" s="48" t="s">
        <v>3535</v>
      </c>
      <c r="D1427" s="48" t="s">
        <v>7</v>
      </c>
      <c r="E1427" s="59" t="s">
        <v>1993</v>
      </c>
      <c r="F1427" s="1"/>
    </row>
    <row r="1428" spans="1:6">
      <c r="A1428" s="56" t="s">
        <v>1991</v>
      </c>
      <c r="B1428" s="67"/>
      <c r="C1428" s="48" t="s">
        <v>3535</v>
      </c>
      <c r="D1428" s="48" t="s">
        <v>7</v>
      </c>
      <c r="E1428" s="59" t="s">
        <v>1993</v>
      </c>
      <c r="F1428" s="1"/>
    </row>
    <row r="1429" spans="1:6">
      <c r="A1429" s="56" t="s">
        <v>1991</v>
      </c>
      <c r="B1429" s="67"/>
      <c r="C1429" s="48" t="s">
        <v>234</v>
      </c>
      <c r="D1429" s="48" t="s">
        <v>7</v>
      </c>
      <c r="E1429" s="59" t="s">
        <v>1993</v>
      </c>
      <c r="F1429" s="1"/>
    </row>
    <row r="1430" spans="1:6">
      <c r="A1430" s="56" t="s">
        <v>1991</v>
      </c>
      <c r="B1430" s="67"/>
      <c r="C1430" s="48" t="s">
        <v>3535</v>
      </c>
      <c r="D1430" s="48" t="s">
        <v>7</v>
      </c>
      <c r="E1430" s="59" t="s">
        <v>1993</v>
      </c>
      <c r="F1430" s="1"/>
    </row>
    <row r="1431" spans="1:6">
      <c r="A1431" s="56" t="s">
        <v>1991</v>
      </c>
      <c r="B1431" s="67"/>
      <c r="C1431" s="48" t="s">
        <v>3535</v>
      </c>
      <c r="D1431" s="48" t="s">
        <v>7</v>
      </c>
      <c r="E1431" s="59" t="s">
        <v>1993</v>
      </c>
      <c r="F1431" s="1"/>
    </row>
    <row r="1432" spans="1:6">
      <c r="A1432" s="56" t="s">
        <v>1991</v>
      </c>
      <c r="B1432" s="67"/>
      <c r="C1432" s="48" t="s">
        <v>3535</v>
      </c>
      <c r="D1432" s="48" t="s">
        <v>7</v>
      </c>
      <c r="E1432" s="59" t="s">
        <v>1993</v>
      </c>
      <c r="F1432" s="1"/>
    </row>
    <row r="1433" spans="1:6">
      <c r="A1433" s="56" t="s">
        <v>1991</v>
      </c>
      <c r="B1433" s="67"/>
      <c r="C1433" s="48" t="s">
        <v>3535</v>
      </c>
      <c r="D1433" s="48" t="s">
        <v>7</v>
      </c>
      <c r="E1433" s="59" t="s">
        <v>1993</v>
      </c>
      <c r="F1433" s="1"/>
    </row>
    <row r="1434" spans="1:6">
      <c r="A1434" s="56" t="s">
        <v>1991</v>
      </c>
      <c r="B1434" s="67"/>
      <c r="C1434" s="48" t="s">
        <v>3535</v>
      </c>
      <c r="D1434" s="48" t="s">
        <v>7</v>
      </c>
      <c r="E1434" s="59" t="s">
        <v>1993</v>
      </c>
      <c r="F1434" s="1"/>
    </row>
    <row r="1435" spans="1:6">
      <c r="A1435" s="56" t="s">
        <v>1991</v>
      </c>
      <c r="B1435" s="67"/>
      <c r="C1435" s="48" t="s">
        <v>3535</v>
      </c>
      <c r="D1435" s="48" t="s">
        <v>7</v>
      </c>
      <c r="E1435" s="59" t="s">
        <v>1993</v>
      </c>
      <c r="F1435" s="1"/>
    </row>
    <row r="1436" spans="1:6">
      <c r="A1436" s="56" t="s">
        <v>1991</v>
      </c>
      <c r="B1436" s="67"/>
      <c r="C1436" s="48" t="s">
        <v>3535</v>
      </c>
      <c r="D1436" s="48" t="s">
        <v>7</v>
      </c>
      <c r="E1436" s="59" t="s">
        <v>1993</v>
      </c>
      <c r="F1436" s="1"/>
    </row>
    <row r="1437" spans="1:6">
      <c r="A1437" s="56" t="s">
        <v>1991</v>
      </c>
      <c r="B1437" s="67"/>
      <c r="C1437" s="48" t="s">
        <v>3535</v>
      </c>
      <c r="D1437" s="48" t="s">
        <v>7</v>
      </c>
      <c r="E1437" s="59" t="s">
        <v>1993</v>
      </c>
      <c r="F1437" s="1"/>
    </row>
    <row r="1438" s="50" customFormat="1" ht="16.5" spans="1:6">
      <c r="A1438" s="56" t="s">
        <v>1991</v>
      </c>
      <c r="B1438" s="48" t="s">
        <v>3536</v>
      </c>
      <c r="C1438" s="48" t="s">
        <v>235</v>
      </c>
      <c r="D1438" s="48" t="s">
        <v>7</v>
      </c>
      <c r="E1438" s="59" t="s">
        <v>1993</v>
      </c>
      <c r="F1438" s="48" t="s">
        <v>3537</v>
      </c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6">
      <c r="A1451"/>
      <c r="B1451"/>
      <c r="C1451"/>
      <c r="D1451"/>
      <c r="E1451"/>
      <c r="F1451"/>
    </row>
    <row r="1452" spans="1:6">
      <c r="A1452"/>
      <c r="B1452"/>
      <c r="C1452"/>
      <c r="D1452"/>
      <c r="E1452"/>
      <c r="F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6">
      <c r="A1458"/>
      <c r="B1458"/>
      <c r="C1458"/>
      <c r="D1458"/>
      <c r="E1458"/>
      <c r="F1458"/>
    </row>
    <row r="1459" spans="1:6">
      <c r="A1459"/>
      <c r="B1459"/>
      <c r="C1459"/>
      <c r="D1459"/>
      <c r="E1459"/>
      <c r="F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6">
      <c r="A1488"/>
      <c r="B1488"/>
      <c r="C1488"/>
      <c r="D1488"/>
      <c r="E1488"/>
      <c r="F1488"/>
    </row>
    <row r="1489" spans="1:6">
      <c r="A1489"/>
      <c r="B1489"/>
      <c r="C1489"/>
      <c r="D1489"/>
      <c r="E1489"/>
      <c r="F1489"/>
    </row>
    <row r="1490" spans="1:6">
      <c r="A1490"/>
      <c r="B1490"/>
      <c r="C1490"/>
      <c r="D1490"/>
      <c r="E1490"/>
      <c r="F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6">
      <c r="A1493"/>
      <c r="B1493"/>
      <c r="C1493"/>
      <c r="D1493"/>
      <c r="E1493"/>
      <c r="F1493"/>
    </row>
    <row r="1494" spans="1:6">
      <c r="A1494"/>
      <c r="B1494"/>
      <c r="C1494"/>
      <c r="D1494"/>
      <c r="E1494"/>
      <c r="F1494"/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6">
      <c r="A1498"/>
      <c r="B1498"/>
      <c r="C1498"/>
      <c r="D1498"/>
      <c r="E1498"/>
      <c r="F1498"/>
    </row>
    <row r="1499" spans="1:6">
      <c r="A1499"/>
      <c r="B1499"/>
      <c r="C1499"/>
      <c r="D1499"/>
      <c r="E1499"/>
      <c r="F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6">
      <c r="A1504"/>
      <c r="B1504"/>
      <c r="C1504"/>
      <c r="D1504"/>
      <c r="E1504"/>
      <c r="F1504"/>
    </row>
    <row r="1505" spans="1:6">
      <c r="A1505"/>
      <c r="B1505"/>
      <c r="C1505"/>
      <c r="D1505"/>
      <c r="E1505"/>
      <c r="F1505"/>
    </row>
    <row r="1506" spans="1:6">
      <c r="A1506"/>
      <c r="B1506"/>
      <c r="C1506"/>
      <c r="D1506"/>
      <c r="E1506"/>
      <c r="F1506"/>
    </row>
    <row r="1507" spans="1:6">
      <c r="A1507"/>
      <c r="B1507"/>
      <c r="C1507"/>
      <c r="D1507"/>
      <c r="E1507"/>
      <c r="F1507"/>
    </row>
    <row r="1508" spans="1:6">
      <c r="A1508"/>
      <c r="B1508"/>
      <c r="C1508"/>
      <c r="D1508"/>
      <c r="E1508"/>
      <c r="F1508"/>
    </row>
    <row r="1509" spans="1:6">
      <c r="A1509"/>
      <c r="B1509"/>
      <c r="C1509"/>
      <c r="D1509"/>
      <c r="E1509"/>
      <c r="F1509"/>
    </row>
    <row r="1510" spans="1:6">
      <c r="A1510"/>
      <c r="B1510"/>
      <c r="C1510"/>
      <c r="D1510"/>
      <c r="E1510"/>
      <c r="F1510"/>
    </row>
    <row r="1511" spans="1:6">
      <c r="A1511"/>
      <c r="B1511"/>
      <c r="C1511"/>
      <c r="D1511"/>
      <c r="E1511"/>
      <c r="F1511"/>
    </row>
    <row r="1512" spans="1:6">
      <c r="A1512"/>
      <c r="B1512"/>
      <c r="C1512"/>
      <c r="D1512"/>
      <c r="E1512"/>
      <c r="F1512"/>
    </row>
    <row r="1513" spans="1:6">
      <c r="A1513"/>
      <c r="B1513"/>
      <c r="C1513"/>
      <c r="D1513"/>
      <c r="E1513"/>
      <c r="F1513"/>
    </row>
    <row r="1514" spans="1:6">
      <c r="A1514"/>
      <c r="B1514"/>
      <c r="C1514"/>
      <c r="D1514"/>
      <c r="E1514"/>
      <c r="F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6">
      <c r="A1517"/>
      <c r="B1517"/>
      <c r="C1517"/>
      <c r="D1517"/>
      <c r="E1517"/>
      <c r="F1517"/>
    </row>
    <row r="1518" spans="1:6">
      <c r="A1518"/>
      <c r="B1518"/>
      <c r="C1518"/>
      <c r="D1518"/>
      <c r="E1518"/>
      <c r="F1518"/>
    </row>
    <row r="1519" spans="1:6">
      <c r="A1519"/>
      <c r="B1519"/>
      <c r="C1519"/>
      <c r="D1519"/>
      <c r="E1519"/>
      <c r="F1519"/>
    </row>
    <row r="1520" spans="1:6">
      <c r="A1520"/>
      <c r="B1520"/>
      <c r="C1520"/>
      <c r="D1520"/>
      <c r="E1520"/>
      <c r="F1520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6">
      <c r="A1529"/>
      <c r="B1529"/>
      <c r="C1529"/>
      <c r="D1529"/>
      <c r="E1529"/>
      <c r="F1529"/>
    </row>
    <row r="1530" spans="1:6">
      <c r="A1530"/>
      <c r="B1530"/>
      <c r="C1530"/>
      <c r="D1530"/>
      <c r="E1530"/>
      <c r="F1530"/>
    </row>
    <row r="1531" spans="1:6">
      <c r="A1531"/>
      <c r="B1531"/>
      <c r="C1531"/>
      <c r="D1531"/>
      <c r="E1531"/>
      <c r="F1531"/>
    </row>
    <row r="1532" spans="1:6">
      <c r="A1532"/>
      <c r="B1532"/>
      <c r="C1532"/>
      <c r="D1532"/>
      <c r="E1532"/>
      <c r="F1532"/>
    </row>
    <row r="1533" spans="1:6">
      <c r="A1533"/>
      <c r="B1533"/>
      <c r="C1533"/>
      <c r="D1533"/>
      <c r="E1533"/>
      <c r="F1533"/>
    </row>
    <row r="1534" spans="1:6">
      <c r="A1534"/>
      <c r="B1534"/>
      <c r="C1534"/>
      <c r="D1534"/>
      <c r="E1534"/>
      <c r="F1534"/>
    </row>
    <row r="1535" spans="1:6">
      <c r="A1535"/>
      <c r="B1535"/>
      <c r="C1535"/>
      <c r="D1535"/>
      <c r="E1535"/>
      <c r="F1535"/>
    </row>
    <row r="1536" spans="1:6">
      <c r="A1536"/>
      <c r="B1536"/>
      <c r="C1536"/>
      <c r="D1536"/>
      <c r="E1536"/>
      <c r="F1536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6">
      <c r="A1551"/>
      <c r="B1551"/>
      <c r="C1551"/>
      <c r="D1551"/>
      <c r="E1551"/>
      <c r="F1551"/>
    </row>
    <row r="1552" spans="1:6">
      <c r="A1552"/>
      <c r="B1552"/>
      <c r="C1552"/>
      <c r="D1552"/>
      <c r="E1552"/>
      <c r="F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6">
      <c r="A1572"/>
      <c r="B1572"/>
      <c r="C1572"/>
      <c r="D1572"/>
      <c r="E1572"/>
      <c r="F1572"/>
    </row>
    <row r="1573" spans="1:6">
      <c r="A1573"/>
      <c r="B1573"/>
      <c r="C1573"/>
      <c r="D1573"/>
      <c r="E1573"/>
      <c r="F1573"/>
    </row>
    <row r="1574" spans="1:6">
      <c r="A1574"/>
      <c r="B1574"/>
      <c r="C1574"/>
      <c r="D1574"/>
      <c r="E1574"/>
      <c r="F1574"/>
    </row>
    <row r="1575" spans="1:6">
      <c r="A1575"/>
      <c r="B1575"/>
      <c r="C1575"/>
      <c r="D1575"/>
      <c r="E1575"/>
      <c r="F1575"/>
    </row>
    <row r="1576" spans="1:6">
      <c r="A1576"/>
      <c r="B1576"/>
      <c r="C1576"/>
      <c r="D1576"/>
      <c r="E1576"/>
      <c r="F1576"/>
    </row>
    <row r="1577" spans="1:6">
      <c r="A1577"/>
      <c r="B1577"/>
      <c r="C1577"/>
      <c r="D1577"/>
      <c r="E1577"/>
      <c r="F1577"/>
    </row>
    <row r="1578" spans="1:6">
      <c r="A1578"/>
      <c r="B1578"/>
      <c r="C1578"/>
      <c r="D1578"/>
      <c r="E1578"/>
      <c r="F1578"/>
    </row>
    <row r="1579" spans="1:6">
      <c r="A1579"/>
      <c r="B1579"/>
      <c r="C1579"/>
      <c r="D1579"/>
      <c r="E1579"/>
      <c r="F1579"/>
    </row>
    <row r="1580" spans="1:6">
      <c r="A1580"/>
      <c r="B1580"/>
      <c r="C1580"/>
      <c r="D1580"/>
      <c r="E1580"/>
      <c r="F1580"/>
    </row>
    <row r="1581" spans="1:6">
      <c r="A1581"/>
      <c r="B1581"/>
      <c r="C1581"/>
      <c r="D1581"/>
      <c r="E1581"/>
      <c r="F1581"/>
    </row>
    <row r="1582" spans="1:6">
      <c r="A1582"/>
      <c r="B1582"/>
      <c r="C1582"/>
      <c r="D1582"/>
      <c r="E1582"/>
      <c r="F1582"/>
    </row>
    <row r="1583" spans="1:6">
      <c r="A1583"/>
      <c r="B1583"/>
      <c r="C1583"/>
      <c r="D1583"/>
      <c r="E1583"/>
      <c r="F1583"/>
    </row>
    <row r="1584" spans="1:6">
      <c r="A1584"/>
      <c r="B1584"/>
      <c r="C1584"/>
      <c r="D1584"/>
      <c r="E1584"/>
      <c r="F1584"/>
    </row>
    <row r="1585" spans="1:6">
      <c r="A1585"/>
      <c r="B1585"/>
      <c r="C1585"/>
      <c r="D1585"/>
      <c r="E1585"/>
      <c r="F1585"/>
    </row>
    <row r="1586" spans="1:6">
      <c r="A1586"/>
      <c r="B1586"/>
      <c r="C1586"/>
      <c r="D1586"/>
      <c r="E1586"/>
      <c r="F1586"/>
    </row>
    <row r="1587" spans="1:6">
      <c r="A1587"/>
      <c r="B1587"/>
      <c r="C1587"/>
      <c r="D1587"/>
      <c r="E1587"/>
      <c r="F1587"/>
    </row>
    <row r="1588" spans="1:6">
      <c r="A1588"/>
      <c r="B1588"/>
      <c r="C1588"/>
      <c r="D1588"/>
      <c r="E1588"/>
      <c r="F1588"/>
    </row>
    <row r="1589" spans="1:6">
      <c r="A1589"/>
      <c r="B1589"/>
      <c r="C1589"/>
      <c r="D1589"/>
      <c r="E1589"/>
      <c r="F1589"/>
    </row>
    <row r="1590" spans="1:6">
      <c r="A1590"/>
      <c r="B1590"/>
      <c r="C1590"/>
      <c r="D1590"/>
      <c r="E1590"/>
      <c r="F1590"/>
    </row>
    <row r="1591" spans="1:6">
      <c r="A1591"/>
      <c r="B1591"/>
      <c r="C1591"/>
      <c r="D1591"/>
      <c r="E1591"/>
      <c r="F1591"/>
    </row>
    <row r="1592" spans="1:6">
      <c r="A1592"/>
      <c r="B1592"/>
      <c r="C1592"/>
      <c r="D1592"/>
      <c r="E1592"/>
      <c r="F1592"/>
    </row>
    <row r="1593" spans="1:6">
      <c r="A1593"/>
      <c r="B1593"/>
      <c r="C1593"/>
      <c r="D1593"/>
      <c r="E1593"/>
      <c r="F1593"/>
    </row>
    <row r="1594" spans="1:6">
      <c r="A1594"/>
      <c r="B1594"/>
      <c r="C1594"/>
      <c r="D1594"/>
      <c r="E1594"/>
      <c r="F1594"/>
    </row>
    <row r="1595" spans="1:6">
      <c r="A1595"/>
      <c r="B1595"/>
      <c r="C1595"/>
      <c r="D1595"/>
      <c r="E1595"/>
      <c r="F1595"/>
    </row>
    <row r="1596" spans="1:6">
      <c r="A1596"/>
      <c r="B1596"/>
      <c r="C1596"/>
      <c r="D1596"/>
      <c r="E1596"/>
      <c r="F1596"/>
    </row>
    <row r="1597" spans="1:6">
      <c r="A1597"/>
      <c r="B1597"/>
      <c r="C1597"/>
      <c r="D1597"/>
      <c r="E1597"/>
      <c r="F1597"/>
    </row>
    <row r="1598" spans="1:6">
      <c r="A1598"/>
      <c r="B1598"/>
      <c r="C1598"/>
      <c r="D1598"/>
      <c r="E1598"/>
      <c r="F1598"/>
    </row>
    <row r="1599" spans="1:6">
      <c r="A1599"/>
      <c r="B1599"/>
      <c r="C1599"/>
      <c r="D1599"/>
      <c r="E1599"/>
      <c r="F1599"/>
    </row>
    <row r="1600" spans="1:6">
      <c r="A1600"/>
      <c r="B1600"/>
      <c r="C1600"/>
      <c r="D1600"/>
      <c r="E1600"/>
      <c r="F1600"/>
    </row>
    <row r="1601" spans="1:6">
      <c r="A1601"/>
      <c r="B1601"/>
      <c r="C1601"/>
      <c r="D1601"/>
      <c r="E1601"/>
      <c r="F1601"/>
    </row>
    <row r="1602" spans="1:6">
      <c r="A1602"/>
      <c r="B1602"/>
      <c r="C1602"/>
      <c r="D1602"/>
      <c r="E1602"/>
      <c r="F1602"/>
    </row>
    <row r="1603" spans="1:6">
      <c r="A1603"/>
      <c r="B1603"/>
      <c r="C1603"/>
      <c r="D1603"/>
      <c r="E1603"/>
      <c r="F1603"/>
    </row>
    <row r="1604" spans="1:6">
      <c r="A1604"/>
      <c r="B1604"/>
      <c r="C1604"/>
      <c r="D1604"/>
      <c r="E1604"/>
      <c r="F1604"/>
    </row>
    <row r="1605" spans="1:6">
      <c r="A1605"/>
      <c r="B1605"/>
      <c r="C1605"/>
      <c r="D1605"/>
      <c r="E1605"/>
      <c r="F1605"/>
    </row>
    <row r="1606" spans="1:6">
      <c r="A1606"/>
      <c r="B1606"/>
      <c r="C1606"/>
      <c r="D1606"/>
      <c r="E1606"/>
      <c r="F1606"/>
    </row>
    <row r="1607" spans="1:6">
      <c r="A1607"/>
      <c r="B1607"/>
      <c r="C1607"/>
      <c r="D1607"/>
      <c r="E1607"/>
      <c r="F1607"/>
    </row>
    <row r="1608" spans="1:6">
      <c r="A1608"/>
      <c r="B1608"/>
      <c r="C1608"/>
      <c r="D1608"/>
      <c r="E1608"/>
      <c r="F1608"/>
    </row>
    <row r="1609" spans="1:6">
      <c r="A1609"/>
      <c r="B1609"/>
      <c r="C1609"/>
      <c r="D1609"/>
      <c r="E1609"/>
      <c r="F1609"/>
    </row>
    <row r="1610" spans="1:6">
      <c r="A1610"/>
      <c r="B1610"/>
      <c r="C1610"/>
      <c r="D1610"/>
      <c r="E1610"/>
      <c r="F1610"/>
    </row>
    <row r="1611" spans="1:6">
      <c r="A1611"/>
      <c r="B1611"/>
      <c r="C1611"/>
      <c r="D1611"/>
      <c r="E1611"/>
      <c r="F1611"/>
    </row>
    <row r="1612" spans="1:6">
      <c r="A1612"/>
      <c r="B1612"/>
      <c r="C1612"/>
      <c r="D1612"/>
      <c r="E1612"/>
      <c r="F1612"/>
    </row>
    <row r="1613" spans="1:6">
      <c r="A1613"/>
      <c r="B1613"/>
      <c r="C1613"/>
      <c r="D1613"/>
      <c r="E1613"/>
      <c r="F1613"/>
    </row>
    <row r="1614" spans="1:6">
      <c r="A1614"/>
      <c r="B1614"/>
      <c r="C1614"/>
      <c r="D1614"/>
      <c r="E1614"/>
      <c r="F1614"/>
    </row>
    <row r="1615" spans="1:6">
      <c r="A1615"/>
      <c r="B1615"/>
      <c r="C1615"/>
      <c r="D1615"/>
      <c r="E1615"/>
      <c r="F1615"/>
    </row>
    <row r="1616" spans="1:6">
      <c r="A1616"/>
      <c r="B1616"/>
      <c r="C1616"/>
      <c r="D1616"/>
      <c r="E1616"/>
      <c r="F1616"/>
    </row>
    <row r="1617" spans="1:6">
      <c r="A1617"/>
      <c r="B1617"/>
      <c r="C1617"/>
      <c r="D1617"/>
      <c r="E1617"/>
      <c r="F1617"/>
    </row>
    <row r="1618" spans="1:6">
      <c r="A1618"/>
      <c r="B1618"/>
      <c r="C1618"/>
      <c r="D1618"/>
      <c r="E1618"/>
      <c r="F1618"/>
    </row>
    <row r="1619" spans="1:6">
      <c r="A1619"/>
      <c r="B1619"/>
      <c r="C1619"/>
      <c r="D1619"/>
      <c r="E1619"/>
      <c r="F1619"/>
    </row>
    <row r="1620" spans="1:6">
      <c r="A1620"/>
      <c r="B1620"/>
      <c r="C1620"/>
      <c r="D1620"/>
      <c r="E1620"/>
      <c r="F1620"/>
    </row>
    <row r="1621" spans="1:6">
      <c r="A1621"/>
      <c r="B1621"/>
      <c r="C1621"/>
      <c r="D1621"/>
      <c r="E1621"/>
      <c r="F1621"/>
    </row>
    <row r="1622" spans="1:6">
      <c r="A1622"/>
      <c r="B1622"/>
      <c r="C1622"/>
      <c r="D1622"/>
      <c r="E1622"/>
      <c r="F1622"/>
    </row>
    <row r="1623" spans="1:6">
      <c r="A1623"/>
      <c r="B1623"/>
      <c r="C1623"/>
      <c r="D1623"/>
      <c r="E1623"/>
      <c r="F1623"/>
    </row>
    <row r="1624" spans="1:6">
      <c r="A1624"/>
      <c r="B1624"/>
      <c r="C1624"/>
      <c r="D1624"/>
      <c r="E1624"/>
      <c r="F1624"/>
    </row>
    <row r="1625" spans="1:6">
      <c r="A1625"/>
      <c r="B1625"/>
      <c r="C1625"/>
      <c r="D1625"/>
      <c r="E1625"/>
      <c r="F1625"/>
    </row>
    <row r="1626" spans="1:6">
      <c r="A1626"/>
      <c r="B1626"/>
      <c r="C1626"/>
      <c r="D1626"/>
      <c r="E1626"/>
      <c r="F1626"/>
    </row>
    <row r="1627" spans="1:6">
      <c r="A1627"/>
      <c r="B1627"/>
      <c r="C1627"/>
      <c r="D1627"/>
      <c r="E1627"/>
      <c r="F1627"/>
    </row>
    <row r="1628" spans="1:6">
      <c r="A1628"/>
      <c r="B1628"/>
      <c r="C1628"/>
      <c r="D1628"/>
      <c r="E1628"/>
      <c r="F1628"/>
    </row>
    <row r="1629" spans="1:6">
      <c r="A1629"/>
      <c r="B1629"/>
      <c r="C1629"/>
      <c r="D1629"/>
      <c r="E1629"/>
      <c r="F1629"/>
    </row>
    <row r="1630" spans="1:6">
      <c r="A1630"/>
      <c r="B1630"/>
      <c r="C1630"/>
      <c r="D1630"/>
      <c r="E1630"/>
      <c r="F1630"/>
    </row>
    <row r="1631" spans="1:6">
      <c r="A1631"/>
      <c r="B1631"/>
      <c r="C1631"/>
      <c r="D1631"/>
      <c r="E1631"/>
      <c r="F1631"/>
    </row>
    <row r="1632" spans="1:6">
      <c r="A1632"/>
      <c r="B1632"/>
      <c r="C1632"/>
      <c r="D1632"/>
      <c r="E1632"/>
      <c r="F1632"/>
    </row>
    <row r="1633" spans="1:6">
      <c r="A1633"/>
      <c r="B1633"/>
      <c r="C1633"/>
      <c r="D1633"/>
      <c r="E1633"/>
      <c r="F1633"/>
    </row>
    <row r="1634" spans="1:6">
      <c r="A1634"/>
      <c r="B1634"/>
      <c r="C1634"/>
      <c r="D1634"/>
      <c r="E1634"/>
      <c r="F1634"/>
    </row>
    <row r="1635" spans="1:6">
      <c r="A1635"/>
      <c r="B1635"/>
      <c r="C1635"/>
      <c r="D1635"/>
      <c r="E1635"/>
      <c r="F1635"/>
    </row>
    <row r="1636" spans="1:6">
      <c r="A1636"/>
      <c r="B1636"/>
      <c r="C1636"/>
      <c r="D1636"/>
      <c r="E1636"/>
      <c r="F1636"/>
    </row>
    <row r="1637" spans="1:6">
      <c r="A1637"/>
      <c r="B1637"/>
      <c r="C1637"/>
      <c r="D1637"/>
      <c r="E1637"/>
      <c r="F1637"/>
    </row>
    <row r="1638" spans="1:6">
      <c r="A1638"/>
      <c r="B1638"/>
      <c r="C1638"/>
      <c r="D1638"/>
      <c r="E1638"/>
      <c r="F1638"/>
    </row>
    <row r="1639" spans="1:6">
      <c r="A1639"/>
      <c r="B1639"/>
      <c r="C1639"/>
      <c r="D1639"/>
      <c r="E1639"/>
      <c r="F1639"/>
    </row>
    <row r="1640" spans="1:6">
      <c r="A1640"/>
      <c r="B1640"/>
      <c r="C1640"/>
      <c r="D1640"/>
      <c r="E1640"/>
      <c r="F1640"/>
    </row>
    <row r="1641" spans="1:6">
      <c r="A1641"/>
      <c r="B1641"/>
      <c r="C1641"/>
      <c r="D1641"/>
      <c r="E1641"/>
      <c r="F1641"/>
    </row>
    <row r="1642" spans="1:6">
      <c r="A1642"/>
      <c r="B1642"/>
      <c r="C1642"/>
      <c r="D1642"/>
      <c r="E1642"/>
      <c r="F1642"/>
    </row>
    <row r="1643" spans="1:6">
      <c r="A1643"/>
      <c r="B1643"/>
      <c r="C1643"/>
      <c r="D1643"/>
      <c r="E1643"/>
      <c r="F1643"/>
    </row>
    <row r="1644" spans="1:6">
      <c r="A1644"/>
      <c r="B1644"/>
      <c r="C1644"/>
      <c r="D1644"/>
      <c r="E1644"/>
      <c r="F1644"/>
    </row>
    <row r="1645" spans="1:6">
      <c r="A1645"/>
      <c r="B1645"/>
      <c r="C1645"/>
      <c r="D1645"/>
      <c r="E1645"/>
      <c r="F1645"/>
    </row>
    <row r="1646" spans="1:6">
      <c r="A1646"/>
      <c r="B1646"/>
      <c r="C1646"/>
      <c r="D1646"/>
      <c r="E1646"/>
      <c r="F1646"/>
    </row>
    <row r="1647" spans="1:6">
      <c r="A1647"/>
      <c r="B1647"/>
      <c r="C1647"/>
      <c r="D1647"/>
      <c r="E1647"/>
      <c r="F1647"/>
    </row>
    <row r="1648" spans="1:6">
      <c r="A1648"/>
      <c r="B1648"/>
      <c r="C1648"/>
      <c r="D1648"/>
      <c r="E1648"/>
      <c r="F1648"/>
    </row>
    <row r="1649" spans="1:6">
      <c r="A1649"/>
      <c r="B1649"/>
      <c r="C1649"/>
      <c r="D1649"/>
      <c r="E1649"/>
      <c r="F1649"/>
    </row>
    <row r="1650" spans="1:6">
      <c r="A1650"/>
      <c r="B1650"/>
      <c r="C1650"/>
      <c r="D1650"/>
      <c r="E1650"/>
      <c r="F1650"/>
    </row>
    <row r="1651" spans="1:6">
      <c r="A1651"/>
      <c r="B1651"/>
      <c r="C1651"/>
      <c r="D1651"/>
      <c r="E1651"/>
      <c r="F1651"/>
    </row>
    <row r="1652" spans="1:6">
      <c r="A1652"/>
      <c r="B1652"/>
      <c r="C1652"/>
      <c r="D1652"/>
      <c r="E1652"/>
      <c r="F1652"/>
    </row>
    <row r="1653" spans="1:6">
      <c r="A1653"/>
      <c r="B1653"/>
      <c r="C1653"/>
      <c r="D1653"/>
      <c r="E1653"/>
      <c r="F1653"/>
    </row>
    <row r="1654" spans="1:6">
      <c r="A1654"/>
      <c r="B1654"/>
      <c r="C1654"/>
      <c r="D1654"/>
      <c r="E1654"/>
      <c r="F1654"/>
    </row>
    <row r="1655" spans="1:6">
      <c r="A1655"/>
      <c r="B1655"/>
      <c r="C1655"/>
      <c r="D1655"/>
      <c r="E1655"/>
      <c r="F1655"/>
    </row>
    <row r="1656" spans="1:6">
      <c r="A1656"/>
      <c r="B1656"/>
      <c r="C1656"/>
      <c r="D1656"/>
      <c r="E1656"/>
      <c r="F1656"/>
    </row>
    <row r="1657" spans="1:6">
      <c r="A1657"/>
      <c r="B1657"/>
      <c r="C1657"/>
      <c r="D1657"/>
      <c r="E1657"/>
      <c r="F1657"/>
    </row>
    <row r="1658" spans="1:6">
      <c r="A1658"/>
      <c r="B1658"/>
      <c r="C1658"/>
      <c r="D1658"/>
      <c r="E1658"/>
      <c r="F1658"/>
    </row>
    <row r="1659" spans="1:6">
      <c r="A1659"/>
      <c r="B1659"/>
      <c r="C1659"/>
      <c r="D1659"/>
      <c r="E1659"/>
      <c r="F1659"/>
    </row>
    <row r="1660" spans="1:6">
      <c r="A1660"/>
      <c r="B1660"/>
      <c r="C1660"/>
      <c r="D1660"/>
      <c r="E1660"/>
      <c r="F1660"/>
    </row>
    <row r="1661" spans="1:6">
      <c r="A1661"/>
      <c r="B1661"/>
      <c r="C1661"/>
      <c r="D1661"/>
      <c r="E1661"/>
      <c r="F1661"/>
    </row>
    <row r="1662" spans="1:6">
      <c r="A1662"/>
      <c r="B1662"/>
      <c r="C1662"/>
      <c r="D1662"/>
      <c r="E1662"/>
      <c r="F1662"/>
    </row>
    <row r="1663" spans="1:6">
      <c r="A1663"/>
      <c r="B1663"/>
      <c r="C1663"/>
      <c r="D1663"/>
      <c r="E1663"/>
      <c r="F1663"/>
    </row>
    <row r="1664" spans="1:6">
      <c r="A1664"/>
      <c r="B1664"/>
      <c r="C1664"/>
      <c r="D1664"/>
      <c r="E1664"/>
      <c r="F1664"/>
    </row>
    <row r="1665" spans="1:6">
      <c r="A1665"/>
      <c r="B1665"/>
      <c r="C1665"/>
      <c r="D1665"/>
      <c r="E1665"/>
      <c r="F1665"/>
    </row>
    <row r="1666" spans="1:6">
      <c r="A1666"/>
      <c r="B1666"/>
      <c r="C1666"/>
      <c r="D1666"/>
      <c r="E1666"/>
      <c r="F1666"/>
    </row>
    <row r="1667" spans="1:6">
      <c r="A1667"/>
      <c r="B1667"/>
      <c r="C1667"/>
      <c r="D1667"/>
      <c r="E1667"/>
      <c r="F1667"/>
    </row>
    <row r="1668" spans="1:6">
      <c r="A1668"/>
      <c r="B1668"/>
      <c r="C1668"/>
      <c r="D1668"/>
      <c r="E1668"/>
      <c r="F1668"/>
    </row>
    <row r="1669" spans="1:6">
      <c r="A1669"/>
      <c r="B1669"/>
      <c r="C1669"/>
      <c r="D1669"/>
      <c r="E1669"/>
      <c r="F1669"/>
    </row>
    <row r="1670" spans="1:6">
      <c r="A1670"/>
      <c r="B1670"/>
      <c r="C1670"/>
      <c r="D1670"/>
      <c r="E1670"/>
      <c r="F1670"/>
    </row>
    <row r="1671" spans="1:6">
      <c r="A1671"/>
      <c r="B1671"/>
      <c r="C1671"/>
      <c r="D1671"/>
      <c r="E1671"/>
      <c r="F1671"/>
    </row>
    <row r="1672" spans="1:6">
      <c r="A1672"/>
      <c r="B1672"/>
      <c r="C1672"/>
      <c r="D1672"/>
      <c r="E1672"/>
      <c r="F1672"/>
    </row>
    <row r="1673" spans="1:6">
      <c r="A1673"/>
      <c r="B1673"/>
      <c r="C1673"/>
      <c r="D1673"/>
      <c r="E1673"/>
      <c r="F1673"/>
    </row>
    <row r="1674" spans="1:6">
      <c r="A1674"/>
      <c r="B1674"/>
      <c r="C1674"/>
      <c r="D1674"/>
      <c r="E1674"/>
      <c r="F1674"/>
    </row>
    <row r="1675" spans="1:6">
      <c r="A1675"/>
      <c r="B1675"/>
      <c r="C1675"/>
      <c r="D1675"/>
      <c r="E1675"/>
      <c r="F1675"/>
    </row>
    <row r="1676" spans="1:6">
      <c r="A1676"/>
      <c r="B1676"/>
      <c r="C1676"/>
      <c r="D1676"/>
      <c r="E1676"/>
      <c r="F1676"/>
    </row>
    <row r="1677" spans="1:6">
      <c r="A1677"/>
      <c r="B1677"/>
      <c r="C1677"/>
      <c r="D1677"/>
      <c r="E1677"/>
      <c r="F1677"/>
    </row>
    <row r="1678" spans="1:6">
      <c r="A1678"/>
      <c r="B1678"/>
      <c r="C1678"/>
      <c r="D1678"/>
      <c r="E1678"/>
      <c r="F1678"/>
    </row>
    <row r="1679" spans="1:6">
      <c r="A1679"/>
      <c r="B1679"/>
      <c r="C1679"/>
      <c r="D1679"/>
      <c r="E1679"/>
      <c r="F1679"/>
    </row>
    <row r="1680" spans="1:6">
      <c r="A1680"/>
      <c r="B1680"/>
      <c r="C1680"/>
      <c r="D1680"/>
      <c r="E1680"/>
      <c r="F1680"/>
    </row>
    <row r="1681" spans="1:6">
      <c r="A1681"/>
      <c r="B1681"/>
      <c r="C1681"/>
      <c r="D1681"/>
      <c r="E1681"/>
      <c r="F1681"/>
    </row>
    <row r="1682" spans="1:6">
      <c r="A1682"/>
      <c r="B1682"/>
      <c r="C1682"/>
      <c r="D1682"/>
      <c r="E1682"/>
      <c r="F1682"/>
    </row>
    <row r="1683" spans="1:6">
      <c r="A1683"/>
      <c r="B1683"/>
      <c r="C1683"/>
      <c r="D1683"/>
      <c r="E1683"/>
      <c r="F1683"/>
    </row>
    <row r="1684" spans="1:6">
      <c r="A1684"/>
      <c r="B1684"/>
      <c r="C1684"/>
      <c r="D1684"/>
      <c r="E1684"/>
      <c r="F1684"/>
    </row>
    <row r="1685" spans="1:6">
      <c r="A1685"/>
      <c r="B1685"/>
      <c r="C1685"/>
      <c r="D1685"/>
      <c r="E1685"/>
      <c r="F1685"/>
    </row>
    <row r="1686" spans="1:6">
      <c r="A1686"/>
      <c r="B1686"/>
      <c r="C1686"/>
      <c r="D1686"/>
      <c r="E1686"/>
      <c r="F1686"/>
    </row>
    <row r="1687" spans="1:6">
      <c r="A1687"/>
      <c r="B1687"/>
      <c r="C1687"/>
      <c r="D1687"/>
      <c r="E1687"/>
      <c r="F1687"/>
    </row>
    <row r="1688" spans="1:6">
      <c r="A1688"/>
      <c r="B1688"/>
      <c r="C1688"/>
      <c r="D1688"/>
      <c r="E1688"/>
      <c r="F1688"/>
    </row>
    <row r="1689" spans="1:6">
      <c r="A1689"/>
      <c r="B1689"/>
      <c r="C1689"/>
      <c r="D1689"/>
      <c r="E1689"/>
      <c r="F1689"/>
    </row>
    <row r="1690" spans="1:6">
      <c r="A1690"/>
      <c r="B1690"/>
      <c r="C1690"/>
      <c r="D1690"/>
      <c r="E1690"/>
      <c r="F1690"/>
    </row>
    <row r="1691" spans="1:6">
      <c r="A1691"/>
      <c r="B1691"/>
      <c r="C1691"/>
      <c r="D1691"/>
      <c r="E1691"/>
      <c r="F1691"/>
    </row>
    <row r="1692" spans="1:6">
      <c r="A1692"/>
      <c r="B1692"/>
      <c r="C1692"/>
      <c r="D1692"/>
      <c r="E1692"/>
      <c r="F1692"/>
    </row>
    <row r="1693" spans="1:6">
      <c r="A1693"/>
      <c r="B1693"/>
      <c r="C1693"/>
      <c r="D1693"/>
      <c r="E1693"/>
      <c r="F1693"/>
    </row>
    <row r="1694" spans="1:6">
      <c r="A1694"/>
      <c r="B1694"/>
      <c r="C1694"/>
      <c r="D1694"/>
      <c r="E1694"/>
      <c r="F1694"/>
    </row>
    <row r="1695" spans="1:6">
      <c r="A1695"/>
      <c r="B1695"/>
      <c r="C1695"/>
      <c r="D1695"/>
      <c r="E1695"/>
      <c r="F1695"/>
    </row>
    <row r="1696" spans="1:6">
      <c r="A1696"/>
      <c r="B1696"/>
      <c r="C1696"/>
      <c r="D1696"/>
      <c r="E1696"/>
      <c r="F1696"/>
    </row>
    <row r="1697" spans="1:6">
      <c r="A1697"/>
      <c r="B1697"/>
      <c r="C1697"/>
      <c r="D1697"/>
      <c r="E1697"/>
      <c r="F1697"/>
    </row>
    <row r="1698" spans="1:6">
      <c r="A1698"/>
      <c r="B1698"/>
      <c r="C1698"/>
      <c r="D1698"/>
      <c r="E1698"/>
      <c r="F1698"/>
    </row>
    <row r="1699" spans="1:6">
      <c r="A1699"/>
      <c r="B1699"/>
      <c r="C1699"/>
      <c r="D1699"/>
      <c r="E1699"/>
      <c r="F1699"/>
    </row>
    <row r="1700" spans="1:6">
      <c r="A1700"/>
      <c r="B1700"/>
      <c r="C1700"/>
      <c r="D1700"/>
      <c r="E1700"/>
      <c r="F1700"/>
    </row>
    <row r="1701" spans="1:6">
      <c r="A1701"/>
      <c r="B1701"/>
      <c r="C1701"/>
      <c r="D1701"/>
      <c r="E1701"/>
      <c r="F1701"/>
    </row>
    <row r="1702" spans="1:6">
      <c r="A1702"/>
      <c r="B1702"/>
      <c r="C1702"/>
      <c r="D1702"/>
      <c r="E1702"/>
      <c r="F1702"/>
    </row>
    <row r="1703" spans="1:6">
      <c r="A1703"/>
      <c r="B1703"/>
      <c r="C1703"/>
      <c r="D1703"/>
      <c r="E1703"/>
      <c r="F1703"/>
    </row>
    <row r="1704" spans="1:6">
      <c r="A1704"/>
      <c r="B1704"/>
      <c r="C1704"/>
      <c r="D1704"/>
      <c r="E1704"/>
      <c r="F1704"/>
    </row>
    <row r="1705" spans="1:6">
      <c r="A1705"/>
      <c r="B1705"/>
      <c r="C1705"/>
      <c r="D1705"/>
      <c r="E1705"/>
      <c r="F1705"/>
    </row>
    <row r="1706" spans="1:6">
      <c r="A1706"/>
      <c r="B1706"/>
      <c r="C1706"/>
      <c r="D1706"/>
      <c r="E1706"/>
      <c r="F1706"/>
    </row>
    <row r="1707" spans="1:6">
      <c r="A1707"/>
      <c r="B1707"/>
      <c r="C1707"/>
      <c r="D1707"/>
      <c r="E1707"/>
      <c r="F1707"/>
    </row>
    <row r="1708" spans="1:6">
      <c r="A1708"/>
      <c r="B1708"/>
      <c r="C1708"/>
      <c r="D1708"/>
      <c r="E1708"/>
      <c r="F1708"/>
    </row>
    <row r="1709" spans="1:6">
      <c r="A1709"/>
      <c r="B1709"/>
      <c r="C1709"/>
      <c r="D1709"/>
      <c r="E1709"/>
      <c r="F1709"/>
    </row>
    <row r="1710" spans="1:6">
      <c r="A1710"/>
      <c r="B1710"/>
      <c r="C1710"/>
      <c r="D1710"/>
      <c r="E1710"/>
      <c r="F1710"/>
    </row>
    <row r="1711" spans="1:6">
      <c r="A1711"/>
      <c r="B1711"/>
      <c r="C1711"/>
      <c r="D1711"/>
      <c r="E1711"/>
      <c r="F1711"/>
    </row>
    <row r="1712" spans="1:6">
      <c r="A1712"/>
      <c r="B1712"/>
      <c r="C1712"/>
      <c r="D1712"/>
      <c r="E1712"/>
      <c r="F1712"/>
    </row>
    <row r="1713" spans="1:6">
      <c r="A1713"/>
      <c r="B1713"/>
      <c r="C1713"/>
      <c r="D1713"/>
      <c r="E1713"/>
      <c r="F1713"/>
    </row>
    <row r="1714" spans="1:6">
      <c r="A1714"/>
      <c r="B1714"/>
      <c r="C1714"/>
      <c r="D1714"/>
      <c r="E1714"/>
      <c r="F1714"/>
    </row>
    <row r="1715" spans="1:6">
      <c r="A1715"/>
      <c r="B1715"/>
      <c r="C1715"/>
      <c r="D1715"/>
      <c r="E1715"/>
      <c r="F1715"/>
    </row>
    <row r="1716" spans="1:6">
      <c r="A1716"/>
      <c r="B1716"/>
      <c r="C1716"/>
      <c r="D1716"/>
      <c r="E1716"/>
      <c r="F1716"/>
    </row>
    <row r="1717" spans="1:6">
      <c r="A1717"/>
      <c r="B1717"/>
      <c r="C1717"/>
      <c r="D1717"/>
      <c r="E1717"/>
      <c r="F1717"/>
    </row>
    <row r="1718" spans="1:6">
      <c r="A1718"/>
      <c r="B1718"/>
      <c r="C1718"/>
      <c r="D1718"/>
      <c r="E1718"/>
      <c r="F1718"/>
    </row>
    <row r="1719" spans="1:6">
      <c r="A1719"/>
      <c r="B1719"/>
      <c r="C1719"/>
      <c r="D1719"/>
      <c r="E1719"/>
      <c r="F1719"/>
    </row>
    <row r="1720" spans="1:6">
      <c r="A1720"/>
      <c r="B1720"/>
      <c r="C1720"/>
      <c r="D1720"/>
      <c r="E1720"/>
      <c r="F1720"/>
    </row>
    <row r="1721" spans="1:6">
      <c r="A1721"/>
      <c r="B1721"/>
      <c r="C1721"/>
      <c r="D1721"/>
      <c r="E1721"/>
      <c r="F1721"/>
    </row>
    <row r="1722" spans="1:6">
      <c r="A1722"/>
      <c r="B1722"/>
      <c r="C1722"/>
      <c r="D1722"/>
      <c r="E1722"/>
      <c r="F1722"/>
    </row>
    <row r="1723" spans="1:6">
      <c r="A1723"/>
      <c r="B1723"/>
      <c r="C1723"/>
      <c r="D1723"/>
      <c r="E1723"/>
      <c r="F1723"/>
    </row>
    <row r="1724" spans="1:6">
      <c r="A1724"/>
      <c r="B1724"/>
      <c r="C1724"/>
      <c r="D1724"/>
      <c r="E1724"/>
      <c r="F1724"/>
    </row>
    <row r="1725" spans="1:6">
      <c r="A1725"/>
      <c r="B1725"/>
      <c r="C1725"/>
      <c r="D1725"/>
      <c r="E1725"/>
      <c r="F1725"/>
    </row>
    <row r="1726" spans="1:6">
      <c r="A1726"/>
      <c r="B1726"/>
      <c r="C1726"/>
      <c r="D1726"/>
      <c r="E1726"/>
      <c r="F1726"/>
    </row>
    <row r="1727" spans="1:6">
      <c r="A1727"/>
      <c r="B1727"/>
      <c r="C1727"/>
      <c r="D1727"/>
      <c r="E1727"/>
      <c r="F1727"/>
    </row>
    <row r="1728" spans="1:6">
      <c r="A1728"/>
      <c r="B1728"/>
      <c r="C1728"/>
      <c r="D1728"/>
      <c r="E1728"/>
      <c r="F1728"/>
    </row>
    <row r="1729" spans="1:6">
      <c r="A1729"/>
      <c r="B1729"/>
      <c r="C1729"/>
      <c r="D1729"/>
      <c r="E1729"/>
      <c r="F1729"/>
    </row>
    <row r="1730" spans="1:6">
      <c r="A1730"/>
      <c r="B1730"/>
      <c r="C1730"/>
      <c r="D1730"/>
      <c r="E1730"/>
      <c r="F1730"/>
    </row>
    <row r="1731" spans="1:6">
      <c r="A1731"/>
      <c r="B1731"/>
      <c r="C1731"/>
      <c r="D1731"/>
      <c r="E1731"/>
      <c r="F1731"/>
    </row>
    <row r="1732" spans="1:6">
      <c r="A1732"/>
      <c r="B1732"/>
      <c r="C1732"/>
      <c r="D1732"/>
      <c r="E1732"/>
      <c r="F1732"/>
    </row>
    <row r="1733" spans="1:6">
      <c r="A1733"/>
      <c r="B1733"/>
      <c r="C1733"/>
      <c r="D1733"/>
      <c r="E1733"/>
      <c r="F1733"/>
    </row>
    <row r="1734" spans="1:6">
      <c r="A1734"/>
      <c r="B1734"/>
      <c r="C1734"/>
      <c r="D1734"/>
      <c r="E1734"/>
      <c r="F1734"/>
    </row>
    <row r="1735" spans="1:6">
      <c r="A1735"/>
      <c r="B1735"/>
      <c r="C1735"/>
      <c r="D1735"/>
      <c r="E1735"/>
      <c r="F1735"/>
    </row>
    <row r="1736" spans="1:6">
      <c r="A1736"/>
      <c r="B1736"/>
      <c r="C1736"/>
      <c r="D1736"/>
      <c r="E1736"/>
      <c r="F1736"/>
    </row>
    <row r="1737" spans="1:6">
      <c r="A1737"/>
      <c r="B1737"/>
      <c r="C1737"/>
      <c r="D1737"/>
      <c r="E1737"/>
      <c r="F1737"/>
    </row>
    <row r="1738" spans="1:6">
      <c r="A1738"/>
      <c r="B1738"/>
      <c r="C1738"/>
      <c r="D1738"/>
      <c r="E1738"/>
      <c r="F1738"/>
    </row>
    <row r="1739" spans="1:6">
      <c r="A1739"/>
      <c r="B1739"/>
      <c r="C1739"/>
      <c r="D1739"/>
      <c r="E1739"/>
      <c r="F1739"/>
    </row>
    <row r="1740" spans="1:6">
      <c r="A1740"/>
      <c r="B1740"/>
      <c r="C1740"/>
      <c r="D1740"/>
      <c r="E1740"/>
      <c r="F1740"/>
    </row>
    <row r="1741" spans="1:6">
      <c r="A1741"/>
      <c r="B1741"/>
      <c r="C1741"/>
      <c r="D1741"/>
      <c r="E1741"/>
      <c r="F1741"/>
    </row>
    <row r="1742" spans="1:6">
      <c r="A1742"/>
      <c r="B1742"/>
      <c r="C1742"/>
      <c r="D1742"/>
      <c r="E1742"/>
      <c r="F1742"/>
    </row>
    <row r="1743" spans="1:6">
      <c r="A1743"/>
      <c r="B1743"/>
      <c r="C1743"/>
      <c r="D1743"/>
      <c r="E1743"/>
      <c r="F1743"/>
    </row>
    <row r="1744" spans="1:6">
      <c r="A1744"/>
      <c r="B1744"/>
      <c r="C1744"/>
      <c r="D1744"/>
      <c r="E1744"/>
      <c r="F1744"/>
    </row>
    <row r="1745" spans="1:6">
      <c r="A1745"/>
      <c r="B1745"/>
      <c r="C1745"/>
      <c r="D1745"/>
      <c r="E1745"/>
      <c r="F1745"/>
    </row>
    <row r="1746" spans="1:6">
      <c r="A1746"/>
      <c r="B1746"/>
      <c r="C1746"/>
      <c r="D1746"/>
      <c r="E1746"/>
      <c r="F1746"/>
    </row>
    <row r="1747" spans="1:6">
      <c r="A1747"/>
      <c r="B1747"/>
      <c r="C1747"/>
      <c r="D1747"/>
      <c r="E1747"/>
      <c r="F1747"/>
    </row>
    <row r="1748" spans="1:6">
      <c r="A1748"/>
      <c r="B1748"/>
      <c r="C1748"/>
      <c r="D1748"/>
      <c r="E1748"/>
      <c r="F1748"/>
    </row>
    <row r="1749" spans="1:6">
      <c r="A1749"/>
      <c r="B1749"/>
      <c r="C1749"/>
      <c r="D1749"/>
      <c r="E1749"/>
      <c r="F1749"/>
    </row>
    <row r="1750" spans="1:6">
      <c r="A1750"/>
      <c r="B1750"/>
      <c r="C1750"/>
      <c r="D1750"/>
      <c r="E1750"/>
      <c r="F1750"/>
    </row>
    <row r="1751" spans="1:6">
      <c r="A1751"/>
      <c r="B1751"/>
      <c r="C1751"/>
      <c r="D1751"/>
      <c r="E1751"/>
      <c r="F1751"/>
    </row>
    <row r="1752" spans="1:6">
      <c r="A1752"/>
      <c r="B1752"/>
      <c r="C1752"/>
      <c r="D1752"/>
      <c r="E1752"/>
      <c r="F1752"/>
    </row>
    <row r="1753" spans="1:6">
      <c r="A1753"/>
      <c r="B1753"/>
      <c r="C1753"/>
      <c r="D1753"/>
      <c r="E1753"/>
      <c r="F1753"/>
    </row>
    <row r="1754" spans="1:6">
      <c r="A1754"/>
      <c r="B1754"/>
      <c r="C1754"/>
      <c r="D1754"/>
      <c r="E1754"/>
      <c r="F1754"/>
    </row>
    <row r="1755" spans="1:6">
      <c r="A1755"/>
      <c r="B1755"/>
      <c r="C1755"/>
      <c r="D1755"/>
      <c r="E1755"/>
      <c r="F1755"/>
    </row>
    <row r="1756" spans="1:6">
      <c r="A1756"/>
      <c r="B1756"/>
      <c r="C1756"/>
      <c r="D1756"/>
      <c r="E1756"/>
      <c r="F1756"/>
    </row>
    <row r="1757" spans="1:6">
      <c r="A1757"/>
      <c r="B1757"/>
      <c r="C1757"/>
      <c r="D1757"/>
      <c r="E1757"/>
      <c r="F1757"/>
    </row>
    <row r="1758" spans="1:6">
      <c r="A1758"/>
      <c r="B1758"/>
      <c r="C1758"/>
      <c r="D1758"/>
      <c r="E1758"/>
      <c r="F1758"/>
    </row>
    <row r="1759" spans="1:6">
      <c r="A1759"/>
      <c r="B1759"/>
      <c r="C1759"/>
      <c r="D1759"/>
      <c r="E1759"/>
      <c r="F1759"/>
    </row>
    <row r="1760" spans="1:6">
      <c r="A1760"/>
      <c r="B1760"/>
      <c r="C1760"/>
      <c r="D1760"/>
      <c r="E1760"/>
      <c r="F1760"/>
    </row>
    <row r="1761" spans="1:6">
      <c r="A1761"/>
      <c r="B1761"/>
      <c r="C1761"/>
      <c r="D1761"/>
      <c r="E1761"/>
      <c r="F1761"/>
    </row>
    <row r="1762" spans="1:6">
      <c r="A1762"/>
      <c r="B1762"/>
      <c r="C1762"/>
      <c r="D1762"/>
      <c r="E1762"/>
      <c r="F1762"/>
    </row>
    <row r="1763" spans="1:6">
      <c r="A1763"/>
      <c r="B1763"/>
      <c r="C1763"/>
      <c r="D1763"/>
      <c r="E1763"/>
      <c r="F1763"/>
    </row>
    <row r="1764" spans="1:6">
      <c r="A1764"/>
      <c r="B1764"/>
      <c r="C1764"/>
      <c r="D1764"/>
      <c r="E1764"/>
      <c r="F1764"/>
    </row>
    <row r="1765" spans="1:6">
      <c r="A1765"/>
      <c r="B1765"/>
      <c r="C1765"/>
      <c r="D1765"/>
      <c r="E1765"/>
      <c r="F1765"/>
    </row>
    <row r="1766" spans="1:6">
      <c r="A1766"/>
      <c r="B1766"/>
      <c r="C1766"/>
      <c r="D1766"/>
      <c r="E1766"/>
      <c r="F1766"/>
    </row>
    <row r="1767" spans="1:6">
      <c r="A1767"/>
      <c r="B1767"/>
      <c r="C1767"/>
      <c r="D1767"/>
      <c r="E1767"/>
      <c r="F1767"/>
    </row>
    <row r="1768" spans="1:6">
      <c r="A1768"/>
      <c r="B1768"/>
      <c r="C1768"/>
      <c r="D1768"/>
      <c r="E1768"/>
      <c r="F1768"/>
    </row>
    <row r="1769" spans="1:6">
      <c r="A1769"/>
      <c r="B1769"/>
      <c r="C1769"/>
      <c r="D1769"/>
      <c r="E1769"/>
      <c r="F1769"/>
    </row>
    <row r="1770" spans="1:6">
      <c r="A1770"/>
      <c r="B1770"/>
      <c r="C1770"/>
      <c r="D1770"/>
      <c r="E1770"/>
      <c r="F1770"/>
    </row>
    <row r="1771" spans="1:6">
      <c r="A1771"/>
      <c r="B1771"/>
      <c r="C1771"/>
      <c r="D1771"/>
      <c r="E1771"/>
      <c r="F1771"/>
    </row>
    <row r="1772" spans="1:6">
      <c r="A1772"/>
      <c r="B1772"/>
      <c r="C1772"/>
      <c r="D1772"/>
      <c r="E1772"/>
      <c r="F1772"/>
    </row>
    <row r="1773" spans="1:6">
      <c r="A1773"/>
      <c r="B1773"/>
      <c r="C1773"/>
      <c r="D1773"/>
      <c r="E1773"/>
      <c r="F1773"/>
    </row>
    <row r="1774" spans="1:6">
      <c r="A1774"/>
      <c r="B1774"/>
      <c r="C1774"/>
      <c r="D1774"/>
      <c r="E1774"/>
      <c r="F1774"/>
    </row>
    <row r="1775" spans="1:6">
      <c r="A1775"/>
      <c r="B1775"/>
      <c r="C1775"/>
      <c r="D1775"/>
      <c r="E1775"/>
      <c r="F1775"/>
    </row>
    <row r="1776" spans="1:6">
      <c r="A1776"/>
      <c r="B1776"/>
      <c r="C1776"/>
      <c r="D1776"/>
      <c r="E1776"/>
      <c r="F1776"/>
    </row>
    <row r="1777" spans="1:6">
      <c r="A1777"/>
      <c r="B1777"/>
      <c r="C1777"/>
      <c r="D1777"/>
      <c r="E1777"/>
      <c r="F1777"/>
    </row>
    <row r="1778" spans="1:6">
      <c r="A1778"/>
      <c r="B1778"/>
      <c r="C1778"/>
      <c r="D1778"/>
      <c r="E1778"/>
      <c r="F1778"/>
    </row>
    <row r="1779" spans="1:6">
      <c r="A1779"/>
      <c r="B1779"/>
      <c r="C1779"/>
      <c r="D1779"/>
      <c r="E1779"/>
      <c r="F1779"/>
    </row>
    <row r="1780" spans="1:6">
      <c r="A1780"/>
      <c r="B1780"/>
      <c r="C1780"/>
      <c r="D1780"/>
      <c r="E1780"/>
      <c r="F1780"/>
    </row>
    <row r="1781" spans="1:6">
      <c r="A1781"/>
      <c r="B1781"/>
      <c r="C1781"/>
      <c r="D1781"/>
      <c r="E1781"/>
      <c r="F1781"/>
    </row>
    <row r="1782" spans="1:6">
      <c r="A1782"/>
      <c r="B1782"/>
      <c r="C1782"/>
      <c r="D1782"/>
      <c r="E1782"/>
      <c r="F1782"/>
    </row>
    <row r="1783" spans="1:6">
      <c r="A1783"/>
      <c r="B1783"/>
      <c r="C1783"/>
      <c r="D1783"/>
      <c r="E1783"/>
      <c r="F1783"/>
    </row>
    <row r="1784" spans="1:6">
      <c r="A1784"/>
      <c r="B1784"/>
      <c r="C1784"/>
      <c r="D1784"/>
      <c r="E1784"/>
      <c r="F1784"/>
    </row>
    <row r="1785" spans="1:6">
      <c r="A1785"/>
      <c r="B1785"/>
      <c r="C1785"/>
      <c r="D1785"/>
      <c r="E1785"/>
      <c r="F1785"/>
    </row>
    <row r="1786" spans="1:6">
      <c r="A1786"/>
      <c r="B1786"/>
      <c r="C1786"/>
      <c r="D1786"/>
      <c r="E1786"/>
      <c r="F1786"/>
    </row>
    <row r="1787" spans="1:6">
      <c r="A1787"/>
      <c r="B1787"/>
      <c r="C1787"/>
      <c r="D1787"/>
      <c r="E1787"/>
      <c r="F1787"/>
    </row>
    <row r="1788" spans="1:6">
      <c r="A1788"/>
      <c r="B1788"/>
      <c r="C1788"/>
      <c r="D1788"/>
      <c r="E1788"/>
      <c r="F1788"/>
    </row>
    <row r="1789" spans="1:6">
      <c r="A1789"/>
      <c r="B1789"/>
      <c r="C1789"/>
      <c r="D1789"/>
      <c r="E1789"/>
      <c r="F1789"/>
    </row>
    <row r="1790" spans="1:6">
      <c r="A1790"/>
      <c r="B1790"/>
      <c r="C1790"/>
      <c r="D1790"/>
      <c r="E1790"/>
      <c r="F1790"/>
    </row>
    <row r="1791" spans="1:6">
      <c r="A1791"/>
      <c r="B1791"/>
      <c r="C1791"/>
      <c r="D1791"/>
      <c r="E1791"/>
      <c r="F1791"/>
    </row>
    <row r="1792" spans="1:6">
      <c r="A1792"/>
      <c r="B1792"/>
      <c r="C1792"/>
      <c r="D1792"/>
      <c r="E1792"/>
      <c r="F1792"/>
    </row>
    <row r="1793" spans="1:6">
      <c r="A1793"/>
      <c r="B1793"/>
      <c r="C1793"/>
      <c r="D1793"/>
      <c r="E1793"/>
      <c r="F1793"/>
    </row>
    <row r="1794" spans="1:6">
      <c r="A1794"/>
      <c r="B1794"/>
      <c r="C1794"/>
      <c r="D1794"/>
      <c r="E1794"/>
      <c r="F1794"/>
    </row>
    <row r="1795" spans="1:6">
      <c r="A1795"/>
      <c r="B1795"/>
      <c r="C1795"/>
      <c r="D1795"/>
      <c r="E1795"/>
      <c r="F1795"/>
    </row>
    <row r="1796" spans="1:6">
      <c r="A1796"/>
      <c r="B1796"/>
      <c r="C1796"/>
      <c r="D1796"/>
      <c r="E1796"/>
      <c r="F1796"/>
    </row>
    <row r="1797" spans="1:6">
      <c r="A1797"/>
      <c r="B1797"/>
      <c r="C1797"/>
      <c r="D1797"/>
      <c r="E1797"/>
      <c r="F1797"/>
    </row>
    <row r="1798" spans="1:6">
      <c r="A1798"/>
      <c r="B1798"/>
      <c r="C1798"/>
      <c r="D1798"/>
      <c r="E1798"/>
      <c r="F1798"/>
    </row>
    <row r="1799" spans="1:6">
      <c r="A1799"/>
      <c r="B1799"/>
      <c r="C1799"/>
      <c r="D1799"/>
      <c r="E1799"/>
      <c r="F1799"/>
    </row>
    <row r="1800" spans="1:6">
      <c r="A1800"/>
      <c r="B1800"/>
      <c r="C1800"/>
      <c r="D1800"/>
      <c r="E1800"/>
      <c r="F1800"/>
    </row>
    <row r="1801" spans="1:6">
      <c r="A1801"/>
      <c r="B1801"/>
      <c r="C1801"/>
      <c r="D1801"/>
      <c r="E1801"/>
      <c r="F1801"/>
    </row>
    <row r="1802" spans="1:6">
      <c r="A1802"/>
      <c r="B1802"/>
      <c r="C1802"/>
      <c r="D1802"/>
      <c r="E1802"/>
      <c r="F1802"/>
    </row>
    <row r="1803" spans="1:6">
      <c r="A1803"/>
      <c r="B1803"/>
      <c r="C1803"/>
      <c r="D1803"/>
      <c r="E1803"/>
      <c r="F1803"/>
    </row>
    <row r="1804" spans="1:6">
      <c r="A1804"/>
      <c r="B1804"/>
      <c r="C1804"/>
      <c r="D1804"/>
      <c r="E1804"/>
      <c r="F1804"/>
    </row>
    <row r="1805" spans="1:6">
      <c r="A1805"/>
      <c r="B1805"/>
      <c r="C1805"/>
      <c r="D1805"/>
      <c r="E1805"/>
      <c r="F1805"/>
    </row>
    <row r="1806" spans="1:6">
      <c r="A1806"/>
      <c r="B1806"/>
      <c r="C1806"/>
      <c r="D1806"/>
      <c r="E1806"/>
      <c r="F1806"/>
    </row>
    <row r="1807" spans="1:6">
      <c r="A1807"/>
      <c r="B1807"/>
      <c r="C1807"/>
      <c r="D1807"/>
      <c r="E1807"/>
      <c r="F1807"/>
    </row>
    <row r="1808" spans="1:6">
      <c r="A1808"/>
      <c r="B1808"/>
      <c r="C1808"/>
      <c r="D1808"/>
      <c r="E1808"/>
      <c r="F1808"/>
    </row>
    <row r="1809" spans="1:6">
      <c r="A1809"/>
      <c r="B1809"/>
      <c r="C1809"/>
      <c r="D1809"/>
      <c r="E1809"/>
      <c r="F1809"/>
    </row>
    <row r="1810" spans="1:6">
      <c r="A1810"/>
      <c r="B1810"/>
      <c r="C1810"/>
      <c r="D1810"/>
      <c r="E1810"/>
      <c r="F1810"/>
    </row>
    <row r="1811" spans="1:6">
      <c r="A1811"/>
      <c r="B1811"/>
      <c r="C1811"/>
      <c r="D1811"/>
      <c r="E1811"/>
      <c r="F1811"/>
    </row>
    <row r="1812" spans="1:6">
      <c r="A1812"/>
      <c r="B1812"/>
      <c r="C1812"/>
      <c r="D1812"/>
      <c r="E1812"/>
      <c r="F1812"/>
    </row>
    <row r="1813" spans="1:6">
      <c r="A1813"/>
      <c r="B1813"/>
      <c r="C1813"/>
      <c r="D1813"/>
      <c r="E1813"/>
      <c r="F1813"/>
    </row>
    <row r="1814" spans="1:6">
      <c r="A1814"/>
      <c r="B1814"/>
      <c r="C1814"/>
      <c r="D1814"/>
      <c r="E1814"/>
      <c r="F1814"/>
    </row>
    <row r="1815" spans="1:6">
      <c r="A1815"/>
      <c r="B1815"/>
      <c r="C1815"/>
      <c r="D1815"/>
      <c r="E1815"/>
      <c r="F1815"/>
    </row>
    <row r="1816" spans="1:6">
      <c r="A1816"/>
      <c r="B1816"/>
      <c r="C1816"/>
      <c r="D1816"/>
      <c r="E1816"/>
      <c r="F1816"/>
    </row>
    <row r="1817" spans="1:6">
      <c r="A1817"/>
      <c r="B1817"/>
      <c r="C1817"/>
      <c r="D1817"/>
      <c r="E1817"/>
      <c r="F1817"/>
    </row>
    <row r="1818" spans="1:6">
      <c r="A1818"/>
      <c r="B1818"/>
      <c r="C1818"/>
      <c r="D1818"/>
      <c r="E1818"/>
      <c r="F1818"/>
    </row>
    <row r="1819" spans="1:6">
      <c r="A1819"/>
      <c r="B1819"/>
      <c r="C1819"/>
      <c r="D1819"/>
      <c r="E1819"/>
      <c r="F1819"/>
    </row>
    <row r="1820" spans="1:6">
      <c r="A1820"/>
      <c r="B1820"/>
      <c r="C1820"/>
      <c r="D1820"/>
      <c r="E1820"/>
      <c r="F1820"/>
    </row>
    <row r="1821" spans="1:6">
      <c r="A1821"/>
      <c r="B1821"/>
      <c r="C1821"/>
      <c r="D1821"/>
      <c r="E1821"/>
      <c r="F1821"/>
    </row>
    <row r="1822" spans="1:6">
      <c r="A1822"/>
      <c r="B1822"/>
      <c r="C1822"/>
      <c r="D1822"/>
      <c r="E1822"/>
      <c r="F1822"/>
    </row>
    <row r="1823" spans="1:6">
      <c r="A1823"/>
      <c r="B1823"/>
      <c r="C1823"/>
      <c r="D1823"/>
      <c r="E1823"/>
      <c r="F1823"/>
    </row>
    <row r="1824" spans="1:6">
      <c r="A1824"/>
      <c r="B1824"/>
      <c r="C1824"/>
      <c r="D1824"/>
      <c r="E1824"/>
      <c r="F1824"/>
    </row>
    <row r="1825" spans="1:6">
      <c r="A1825"/>
      <c r="B1825"/>
      <c r="C1825"/>
      <c r="D1825"/>
      <c r="E1825"/>
      <c r="F1825"/>
    </row>
    <row r="1826" spans="1:6">
      <c r="A1826"/>
      <c r="B1826"/>
      <c r="C1826"/>
      <c r="D1826"/>
      <c r="E1826"/>
      <c r="F1826"/>
    </row>
    <row r="1827" spans="1:6">
      <c r="A1827"/>
      <c r="B1827"/>
      <c r="C1827"/>
      <c r="D1827"/>
      <c r="E1827"/>
      <c r="F1827"/>
    </row>
    <row r="1828" spans="1:6">
      <c r="A1828"/>
      <c r="B1828"/>
      <c r="C1828"/>
      <c r="D1828"/>
      <c r="E1828"/>
      <c r="F1828"/>
    </row>
    <row r="1829" spans="1:6">
      <c r="A1829"/>
      <c r="B1829"/>
      <c r="C1829"/>
      <c r="D1829"/>
      <c r="E1829"/>
      <c r="F1829"/>
    </row>
    <row r="1830" spans="1:6">
      <c r="A1830"/>
      <c r="B1830"/>
      <c r="C1830"/>
      <c r="D1830"/>
      <c r="E1830"/>
      <c r="F1830"/>
    </row>
    <row r="1831" spans="1:6">
      <c r="A1831"/>
      <c r="B1831"/>
      <c r="C1831"/>
      <c r="D1831"/>
      <c r="E1831"/>
      <c r="F1831"/>
    </row>
    <row r="1832" spans="1:6">
      <c r="A1832"/>
      <c r="B1832"/>
      <c r="C1832"/>
      <c r="D1832"/>
      <c r="E1832"/>
      <c r="F1832"/>
    </row>
    <row r="1833" spans="1:6">
      <c r="A1833"/>
      <c r="B1833"/>
      <c r="C1833"/>
      <c r="D1833"/>
      <c r="E1833"/>
      <c r="F1833"/>
    </row>
    <row r="1834" spans="1:6">
      <c r="A1834"/>
      <c r="B1834"/>
      <c r="C1834"/>
      <c r="D1834"/>
      <c r="E1834"/>
      <c r="F1834"/>
    </row>
    <row r="1835" spans="1:6">
      <c r="A1835"/>
      <c r="B1835"/>
      <c r="C1835"/>
      <c r="D1835"/>
      <c r="E1835"/>
      <c r="F1835"/>
    </row>
    <row r="1836" spans="1:6">
      <c r="A1836"/>
      <c r="B1836"/>
      <c r="C1836"/>
      <c r="D1836"/>
      <c r="E1836"/>
      <c r="F1836"/>
    </row>
    <row r="1837" spans="1:6">
      <c r="A1837"/>
      <c r="B1837"/>
      <c r="C1837"/>
      <c r="D1837"/>
      <c r="E1837"/>
      <c r="F1837"/>
    </row>
    <row r="1838" spans="1:6">
      <c r="A1838"/>
      <c r="B1838"/>
      <c r="C1838"/>
      <c r="D1838"/>
      <c r="E1838"/>
      <c r="F1838"/>
    </row>
    <row r="1839" spans="1:6">
      <c r="A1839"/>
      <c r="B1839"/>
      <c r="C1839"/>
      <c r="D1839"/>
      <c r="E1839"/>
      <c r="F1839"/>
    </row>
    <row r="1840" spans="1:6">
      <c r="A1840"/>
      <c r="B1840"/>
      <c r="C1840"/>
      <c r="D1840"/>
      <c r="E1840"/>
      <c r="F1840"/>
    </row>
    <row r="1841" spans="1:6">
      <c r="A1841"/>
      <c r="B1841"/>
      <c r="C1841"/>
      <c r="D1841"/>
      <c r="E1841"/>
      <c r="F1841"/>
    </row>
    <row r="1842" spans="1:6">
      <c r="A1842"/>
      <c r="B1842"/>
      <c r="C1842"/>
      <c r="D1842"/>
      <c r="E1842"/>
      <c r="F1842"/>
    </row>
    <row r="1843" spans="1:6">
      <c r="A1843"/>
      <c r="B1843"/>
      <c r="C1843"/>
      <c r="D1843"/>
      <c r="E1843"/>
      <c r="F1843"/>
    </row>
    <row r="1844" spans="1:6">
      <c r="A1844"/>
      <c r="B1844"/>
      <c r="C1844"/>
      <c r="D1844"/>
      <c r="E1844"/>
      <c r="F1844"/>
    </row>
    <row r="1845" spans="1:6">
      <c r="A1845"/>
      <c r="B1845"/>
      <c r="C1845"/>
      <c r="D1845"/>
      <c r="E1845"/>
      <c r="F1845"/>
    </row>
    <row r="1846" spans="1:6">
      <c r="A1846"/>
      <c r="B1846"/>
      <c r="C1846"/>
      <c r="D1846"/>
      <c r="E1846"/>
      <c r="F1846"/>
    </row>
    <row r="1847" spans="1:6">
      <c r="A1847"/>
      <c r="B1847"/>
      <c r="C1847"/>
      <c r="D1847"/>
      <c r="E1847"/>
      <c r="F1847"/>
    </row>
    <row r="1848" spans="1:6">
      <c r="A1848"/>
      <c r="B1848"/>
      <c r="C1848"/>
      <c r="D1848"/>
      <c r="E1848"/>
      <c r="F1848"/>
    </row>
    <row r="1849" spans="1:6">
      <c r="A1849"/>
      <c r="B1849"/>
      <c r="C1849"/>
      <c r="D1849"/>
      <c r="E1849"/>
      <c r="F1849"/>
    </row>
    <row r="1850" spans="1:6">
      <c r="A1850"/>
      <c r="B1850"/>
      <c r="C1850"/>
      <c r="D1850"/>
      <c r="E1850"/>
      <c r="F1850"/>
    </row>
    <row r="1851" spans="1:6">
      <c r="A1851"/>
      <c r="B1851"/>
      <c r="C1851"/>
      <c r="D1851"/>
      <c r="E1851"/>
      <c r="F1851"/>
    </row>
    <row r="1852" spans="1:6">
      <c r="A1852"/>
      <c r="B1852"/>
      <c r="C1852"/>
      <c r="D1852"/>
      <c r="E1852"/>
      <c r="F1852"/>
    </row>
    <row r="1853" spans="1:6">
      <c r="A1853"/>
      <c r="B1853"/>
      <c r="C1853"/>
      <c r="D1853"/>
      <c r="E1853"/>
      <c r="F1853"/>
    </row>
    <row r="1854" spans="1:6">
      <c r="A1854"/>
      <c r="B1854"/>
      <c r="C1854"/>
      <c r="D1854"/>
      <c r="E1854"/>
      <c r="F1854"/>
    </row>
    <row r="1855" spans="1:6">
      <c r="A1855"/>
      <c r="B1855"/>
      <c r="C1855"/>
      <c r="D1855"/>
      <c r="E1855"/>
      <c r="F1855"/>
    </row>
    <row r="1856" spans="1:6">
      <c r="A1856"/>
      <c r="B1856"/>
      <c r="C1856"/>
      <c r="D1856"/>
      <c r="E1856"/>
      <c r="F1856"/>
    </row>
    <row r="1857" spans="1:6">
      <c r="A1857"/>
      <c r="B1857"/>
      <c r="C1857"/>
      <c r="D1857"/>
      <c r="E1857"/>
      <c r="F1857"/>
    </row>
    <row r="1858" spans="1:6">
      <c r="A1858"/>
      <c r="B1858"/>
      <c r="C1858"/>
      <c r="D1858"/>
      <c r="E1858"/>
      <c r="F1858"/>
    </row>
    <row r="1859" spans="1:6">
      <c r="A1859"/>
      <c r="B1859"/>
      <c r="C1859"/>
      <c r="D1859"/>
      <c r="E1859"/>
      <c r="F1859"/>
    </row>
    <row r="1860" spans="1:6">
      <c r="A1860"/>
      <c r="B1860"/>
      <c r="C1860"/>
      <c r="D1860"/>
      <c r="E1860"/>
      <c r="F1860"/>
    </row>
    <row r="1861" spans="1:6">
      <c r="A1861"/>
      <c r="B1861"/>
      <c r="C1861"/>
      <c r="D1861"/>
      <c r="E1861"/>
      <c r="F1861"/>
    </row>
    <row r="1862" spans="1:6">
      <c r="A1862"/>
      <c r="B1862"/>
      <c r="C1862"/>
      <c r="D1862"/>
      <c r="E1862"/>
      <c r="F1862"/>
    </row>
    <row r="1863" spans="1:6">
      <c r="A1863"/>
      <c r="B1863"/>
      <c r="C1863"/>
      <c r="D1863"/>
      <c r="E1863"/>
      <c r="F1863"/>
    </row>
    <row r="1864" spans="1:6">
      <c r="A1864"/>
      <c r="B1864"/>
      <c r="C1864"/>
      <c r="D1864"/>
      <c r="E1864"/>
      <c r="F1864"/>
    </row>
    <row r="1865" spans="1:6">
      <c r="A1865"/>
      <c r="B1865"/>
      <c r="C1865"/>
      <c r="D1865"/>
      <c r="E1865"/>
      <c r="F1865"/>
    </row>
    <row r="1866" spans="1:6">
      <c r="A1866"/>
      <c r="B1866"/>
      <c r="C1866"/>
      <c r="D1866"/>
      <c r="E1866"/>
      <c r="F1866"/>
    </row>
    <row r="1867" spans="1:6">
      <c r="A1867"/>
      <c r="B1867"/>
      <c r="C1867"/>
      <c r="D1867"/>
      <c r="E1867"/>
      <c r="F1867"/>
    </row>
    <row r="1868" spans="1:6">
      <c r="A1868"/>
      <c r="B1868"/>
      <c r="C1868"/>
      <c r="D1868"/>
      <c r="E1868"/>
      <c r="F1868"/>
    </row>
    <row r="1869" spans="1:6">
      <c r="A1869"/>
      <c r="B1869"/>
      <c r="C1869"/>
      <c r="D1869"/>
      <c r="E1869"/>
      <c r="F1869"/>
    </row>
    <row r="1870" spans="1:6">
      <c r="A1870"/>
      <c r="B1870"/>
      <c r="C1870"/>
      <c r="D1870"/>
      <c r="E1870"/>
      <c r="F1870"/>
    </row>
    <row r="1871" spans="1:6">
      <c r="A1871"/>
      <c r="B1871"/>
      <c r="C1871"/>
      <c r="D1871"/>
      <c r="E1871"/>
      <c r="F1871"/>
    </row>
    <row r="1872" spans="1:6">
      <c r="A1872"/>
      <c r="B1872"/>
      <c r="C1872"/>
      <c r="D1872"/>
      <c r="E1872"/>
      <c r="F1872"/>
    </row>
    <row r="1873" spans="1:6">
      <c r="A1873"/>
      <c r="B1873"/>
      <c r="C1873"/>
      <c r="D1873"/>
      <c r="E1873"/>
      <c r="F1873"/>
    </row>
    <row r="1874" spans="1:6">
      <c r="A1874"/>
      <c r="B1874"/>
      <c r="C1874"/>
      <c r="D1874"/>
      <c r="E1874"/>
      <c r="F1874"/>
    </row>
    <row r="1875" spans="1:6">
      <c r="A1875"/>
      <c r="B1875"/>
      <c r="C1875"/>
      <c r="D1875"/>
      <c r="E1875"/>
      <c r="F1875"/>
    </row>
    <row r="1876" spans="1:6">
      <c r="A1876"/>
      <c r="B1876"/>
      <c r="C1876"/>
      <c r="D1876"/>
      <c r="E1876"/>
      <c r="F1876"/>
    </row>
    <row r="1877" spans="1:6">
      <c r="A1877"/>
      <c r="B1877"/>
      <c r="C1877"/>
      <c r="D1877"/>
      <c r="E1877"/>
      <c r="F1877"/>
    </row>
    <row r="1878" spans="1:6">
      <c r="A1878"/>
      <c r="B1878"/>
      <c r="C1878"/>
      <c r="D1878"/>
      <c r="E1878"/>
      <c r="F1878"/>
    </row>
    <row r="1879" spans="1:6">
      <c r="A1879"/>
      <c r="B1879"/>
      <c r="C1879"/>
      <c r="D1879"/>
      <c r="E1879"/>
      <c r="F1879"/>
    </row>
    <row r="1880" spans="1:6">
      <c r="A1880"/>
      <c r="B1880"/>
      <c r="C1880"/>
      <c r="D1880"/>
      <c r="E1880"/>
      <c r="F1880"/>
    </row>
    <row r="1881" spans="1:6">
      <c r="A1881"/>
      <c r="B1881"/>
      <c r="C1881"/>
      <c r="D1881"/>
      <c r="E1881"/>
      <c r="F1881"/>
    </row>
    <row r="1882" spans="1:6">
      <c r="A1882"/>
      <c r="B1882"/>
      <c r="C1882"/>
      <c r="D1882"/>
      <c r="E1882"/>
      <c r="F1882"/>
    </row>
    <row r="1883" spans="1:6">
      <c r="A1883"/>
      <c r="B1883"/>
      <c r="C1883"/>
      <c r="D1883"/>
      <c r="E1883"/>
      <c r="F1883"/>
    </row>
    <row r="1884" spans="1:6">
      <c r="A1884"/>
      <c r="B1884"/>
      <c r="C1884"/>
      <c r="D1884"/>
      <c r="E1884"/>
      <c r="F1884"/>
    </row>
    <row r="1885" spans="1:6">
      <c r="A1885"/>
      <c r="B1885"/>
      <c r="C1885"/>
      <c r="D1885"/>
      <c r="E1885"/>
      <c r="F1885"/>
    </row>
    <row r="1886" spans="1:6">
      <c r="A1886"/>
      <c r="B1886"/>
      <c r="C1886"/>
      <c r="D1886"/>
      <c r="E1886"/>
      <c r="F1886"/>
    </row>
    <row r="1887" spans="1:6">
      <c r="A1887"/>
      <c r="B1887"/>
      <c r="C1887"/>
      <c r="D1887"/>
      <c r="E1887"/>
      <c r="F1887"/>
    </row>
    <row r="1888" spans="1:6">
      <c r="A1888"/>
      <c r="B1888"/>
      <c r="C1888"/>
      <c r="D1888"/>
      <c r="E1888"/>
      <c r="F1888"/>
    </row>
    <row r="1889" spans="1:6">
      <c r="A1889"/>
      <c r="B1889"/>
      <c r="C1889"/>
      <c r="D1889"/>
      <c r="E1889"/>
      <c r="F1889"/>
    </row>
    <row r="1890" spans="1:6">
      <c r="A1890"/>
      <c r="B1890"/>
      <c r="C1890"/>
      <c r="D1890"/>
      <c r="E1890"/>
      <c r="F1890"/>
    </row>
    <row r="1891" spans="1:6">
      <c r="A1891"/>
      <c r="B1891"/>
      <c r="C1891"/>
      <c r="D1891"/>
      <c r="E1891"/>
      <c r="F1891"/>
    </row>
    <row r="1892" spans="1:6">
      <c r="A1892"/>
      <c r="B1892"/>
      <c r="C1892"/>
      <c r="D1892"/>
      <c r="E1892"/>
      <c r="F1892"/>
    </row>
    <row r="1893" spans="1:6">
      <c r="A1893"/>
      <c r="B1893"/>
      <c r="C1893"/>
      <c r="D1893"/>
      <c r="E1893"/>
      <c r="F1893"/>
    </row>
    <row r="1894" spans="1:6">
      <c r="A1894"/>
      <c r="B1894"/>
      <c r="C1894"/>
      <c r="D1894"/>
      <c r="E1894"/>
      <c r="F1894"/>
    </row>
    <row r="1895" spans="1:6">
      <c r="A1895"/>
      <c r="B1895"/>
      <c r="C1895"/>
      <c r="D1895"/>
      <c r="E1895"/>
      <c r="F1895"/>
    </row>
    <row r="1896" spans="1:6">
      <c r="A1896"/>
      <c r="B1896"/>
      <c r="C1896"/>
      <c r="D1896"/>
      <c r="E1896"/>
      <c r="F1896"/>
    </row>
    <row r="1897" spans="1:6">
      <c r="A1897"/>
      <c r="B1897"/>
      <c r="C1897"/>
      <c r="D1897"/>
      <c r="E1897"/>
      <c r="F1897"/>
    </row>
    <row r="1898" spans="1:6">
      <c r="A1898"/>
      <c r="B1898"/>
      <c r="C1898"/>
      <c r="D1898"/>
      <c r="E1898"/>
      <c r="F1898"/>
    </row>
    <row r="1899" spans="1:6">
      <c r="A1899"/>
      <c r="B1899"/>
      <c r="C1899"/>
      <c r="D1899"/>
      <c r="E1899"/>
      <c r="F1899"/>
    </row>
    <row r="1900" spans="1:6">
      <c r="A1900"/>
      <c r="B1900"/>
      <c r="C1900"/>
      <c r="D1900"/>
      <c r="E1900"/>
      <c r="F1900"/>
    </row>
    <row r="1901" spans="1:6">
      <c r="A1901"/>
      <c r="B1901"/>
      <c r="C1901"/>
      <c r="D1901"/>
      <c r="E1901"/>
      <c r="F1901"/>
    </row>
    <row r="1902" spans="1:6">
      <c r="A1902"/>
      <c r="B1902"/>
      <c r="C1902"/>
      <c r="D1902"/>
      <c r="E1902"/>
      <c r="F1902"/>
    </row>
    <row r="1903" spans="1:6">
      <c r="A1903"/>
      <c r="B1903"/>
      <c r="C1903"/>
      <c r="D1903"/>
      <c r="E1903"/>
      <c r="F1903"/>
    </row>
    <row r="1904" spans="1:6">
      <c r="A1904"/>
      <c r="B1904"/>
      <c r="C1904"/>
      <c r="D1904"/>
      <c r="E1904"/>
      <c r="F1904"/>
    </row>
    <row r="1905" spans="1:6">
      <c r="A1905"/>
      <c r="B1905"/>
      <c r="C1905"/>
      <c r="D1905"/>
      <c r="E1905"/>
      <c r="F1905"/>
    </row>
    <row r="1906" spans="1:6">
      <c r="A1906"/>
      <c r="B1906"/>
      <c r="C1906"/>
      <c r="D1906"/>
      <c r="E1906"/>
      <c r="F1906"/>
    </row>
    <row r="1907" spans="1:6">
      <c r="A1907"/>
      <c r="B1907"/>
      <c r="C1907"/>
      <c r="D1907"/>
      <c r="E1907"/>
      <c r="F1907"/>
    </row>
    <row r="1908" spans="1:6">
      <c r="A1908"/>
      <c r="B1908"/>
      <c r="C1908"/>
      <c r="D1908"/>
      <c r="E1908"/>
      <c r="F1908"/>
    </row>
    <row r="1909" spans="1:6">
      <c r="A1909"/>
      <c r="B1909"/>
      <c r="C1909"/>
      <c r="D1909"/>
      <c r="E1909"/>
      <c r="F1909"/>
    </row>
    <row r="1910" spans="1:6">
      <c r="A1910"/>
      <c r="B1910"/>
      <c r="C1910"/>
      <c r="D1910"/>
      <c r="E1910"/>
      <c r="F1910"/>
    </row>
    <row r="1911" spans="1:6">
      <c r="A1911"/>
      <c r="B1911"/>
      <c r="C1911"/>
      <c r="D1911"/>
      <c r="E1911"/>
      <c r="F1911"/>
    </row>
    <row r="1912" spans="1:6">
      <c r="A1912"/>
      <c r="B1912"/>
      <c r="C1912"/>
      <c r="D1912"/>
      <c r="E1912"/>
      <c r="F1912"/>
    </row>
    <row r="1913" spans="1:6">
      <c r="A1913"/>
      <c r="B1913"/>
      <c r="C1913"/>
      <c r="D1913"/>
      <c r="E1913"/>
      <c r="F1913"/>
    </row>
    <row r="1914" spans="1:6">
      <c r="A1914"/>
      <c r="B1914"/>
      <c r="C1914"/>
      <c r="D1914"/>
      <c r="E1914"/>
      <c r="F1914"/>
    </row>
    <row r="1915" spans="1:6">
      <c r="A1915"/>
      <c r="B1915"/>
      <c r="C1915"/>
      <c r="D1915"/>
      <c r="E1915"/>
      <c r="F1915"/>
    </row>
    <row r="1916" spans="1:6">
      <c r="A1916"/>
      <c r="B1916"/>
      <c r="C1916"/>
      <c r="D1916"/>
      <c r="E1916"/>
      <c r="F1916"/>
    </row>
    <row r="1917" spans="1:6">
      <c r="A1917"/>
      <c r="B1917"/>
      <c r="C1917"/>
      <c r="D1917"/>
      <c r="E1917"/>
      <c r="F1917"/>
    </row>
    <row r="1918" spans="1:6">
      <c r="A1918"/>
      <c r="B1918"/>
      <c r="C1918"/>
      <c r="D1918"/>
      <c r="E1918"/>
      <c r="F1918"/>
    </row>
    <row r="1919" spans="1:6">
      <c r="A1919"/>
      <c r="B1919"/>
      <c r="C1919"/>
      <c r="D1919"/>
      <c r="E1919"/>
      <c r="F1919"/>
    </row>
    <row r="1920" spans="1:6">
      <c r="A1920"/>
      <c r="B1920"/>
      <c r="C1920"/>
      <c r="D1920"/>
      <c r="E1920"/>
      <c r="F1920"/>
    </row>
    <row r="1921" spans="1:6">
      <c r="A1921"/>
      <c r="B1921"/>
      <c r="C1921"/>
      <c r="D1921"/>
      <c r="E1921"/>
      <c r="F1921"/>
    </row>
    <row r="1922" spans="1:6">
      <c r="A1922"/>
      <c r="B1922"/>
      <c r="C1922"/>
      <c r="D1922"/>
      <c r="E1922"/>
      <c r="F1922"/>
    </row>
    <row r="1923" spans="1:6">
      <c r="A1923"/>
      <c r="B1923"/>
      <c r="C1923"/>
      <c r="D1923"/>
      <c r="E1923"/>
      <c r="F1923"/>
    </row>
    <row r="1924" spans="1:6">
      <c r="A1924"/>
      <c r="B1924"/>
      <c r="C1924"/>
      <c r="D1924"/>
      <c r="E1924"/>
      <c r="F1924"/>
    </row>
    <row r="1925" spans="1:6">
      <c r="A1925"/>
      <c r="B1925"/>
      <c r="C1925"/>
      <c r="D1925"/>
      <c r="E1925"/>
      <c r="F1925"/>
    </row>
    <row r="1926" spans="1:6">
      <c r="A1926"/>
      <c r="B1926"/>
      <c r="C1926"/>
      <c r="D1926"/>
      <c r="E1926"/>
      <c r="F1926"/>
    </row>
    <row r="1927" spans="1:6">
      <c r="A1927"/>
      <c r="B1927"/>
      <c r="C1927"/>
      <c r="D1927"/>
      <c r="E1927"/>
      <c r="F1927"/>
    </row>
    <row r="1928" spans="1:6">
      <c r="A1928"/>
      <c r="B1928"/>
      <c r="C1928"/>
      <c r="D1928"/>
      <c r="E1928"/>
      <c r="F1928"/>
    </row>
    <row r="1929" spans="1:6">
      <c r="A1929"/>
      <c r="B1929"/>
      <c r="C1929"/>
      <c r="D1929"/>
      <c r="E1929"/>
      <c r="F1929"/>
    </row>
    <row r="1930" spans="1:6">
      <c r="A1930"/>
      <c r="B1930"/>
      <c r="C1930"/>
      <c r="D1930"/>
      <c r="E1930"/>
      <c r="F1930"/>
    </row>
    <row r="1931" spans="1:6">
      <c r="A1931"/>
      <c r="B1931"/>
      <c r="C1931"/>
      <c r="D1931"/>
      <c r="E1931"/>
      <c r="F1931"/>
    </row>
    <row r="1932" spans="1:6">
      <c r="A1932"/>
      <c r="B1932"/>
      <c r="C1932"/>
      <c r="D1932"/>
      <c r="E1932"/>
      <c r="F1932"/>
    </row>
    <row r="1933" spans="1:6">
      <c r="A1933"/>
      <c r="B1933"/>
      <c r="C1933"/>
      <c r="D1933"/>
      <c r="E1933"/>
      <c r="F1933"/>
    </row>
    <row r="1934" spans="1:6">
      <c r="A1934"/>
      <c r="B1934"/>
      <c r="C1934"/>
      <c r="D1934"/>
      <c r="E1934"/>
      <c r="F1934"/>
    </row>
    <row r="1935" spans="1:6">
      <c r="A1935"/>
      <c r="B1935"/>
      <c r="C1935"/>
      <c r="D1935"/>
      <c r="E1935"/>
      <c r="F1935"/>
    </row>
    <row r="1936" spans="1:6">
      <c r="A1936"/>
      <c r="B1936"/>
      <c r="C1936"/>
      <c r="D1936"/>
      <c r="E1936"/>
      <c r="F1936"/>
    </row>
    <row r="1937" spans="1:6">
      <c r="A1937"/>
      <c r="B1937"/>
      <c r="C1937"/>
      <c r="D1937"/>
      <c r="E1937"/>
      <c r="F1937"/>
    </row>
    <row r="1938" spans="1:6">
      <c r="A1938"/>
      <c r="B1938"/>
      <c r="C1938"/>
      <c r="D1938"/>
      <c r="E1938"/>
      <c r="F1938"/>
    </row>
    <row r="1939" spans="1:6">
      <c r="A1939"/>
      <c r="B1939"/>
      <c r="C1939"/>
      <c r="D1939"/>
      <c r="E1939"/>
      <c r="F1939"/>
    </row>
    <row r="1940" spans="1:6">
      <c r="A1940"/>
      <c r="B1940"/>
      <c r="C1940"/>
      <c r="D1940"/>
      <c r="E1940"/>
      <c r="F1940"/>
    </row>
    <row r="1941" spans="1:6">
      <c r="A1941"/>
      <c r="B1941"/>
      <c r="C1941"/>
      <c r="D1941"/>
      <c r="E1941"/>
      <c r="F1941"/>
    </row>
    <row r="1942" spans="1:6">
      <c r="A1942"/>
      <c r="B1942"/>
      <c r="C1942"/>
      <c r="D1942"/>
      <c r="E1942"/>
      <c r="F1942"/>
    </row>
    <row r="1943" spans="1:6">
      <c r="A1943"/>
      <c r="B1943"/>
      <c r="C1943"/>
      <c r="D1943"/>
      <c r="E1943"/>
      <c r="F1943"/>
    </row>
    <row r="1944" spans="1:6">
      <c r="A1944"/>
      <c r="B1944"/>
      <c r="C1944"/>
      <c r="D1944"/>
      <c r="E1944"/>
      <c r="F1944"/>
    </row>
    <row r="1945" spans="1:6">
      <c r="A1945"/>
      <c r="B1945"/>
      <c r="C1945"/>
      <c r="D1945"/>
      <c r="E1945"/>
      <c r="F1945"/>
    </row>
    <row r="1946" spans="1:6">
      <c r="A1946"/>
      <c r="B1946"/>
      <c r="C1946"/>
      <c r="D1946"/>
      <c r="E1946"/>
      <c r="F1946"/>
    </row>
    <row r="1947" spans="1:6">
      <c r="A1947"/>
      <c r="B1947"/>
      <c r="C1947"/>
      <c r="D1947"/>
      <c r="E1947"/>
      <c r="F1947"/>
    </row>
    <row r="1948" spans="1:6">
      <c r="A1948"/>
      <c r="B1948"/>
      <c r="C1948"/>
      <c r="D1948"/>
      <c r="E1948"/>
      <c r="F1948"/>
    </row>
    <row r="1949" spans="1:6">
      <c r="A1949"/>
      <c r="B1949"/>
      <c r="C1949"/>
      <c r="D1949"/>
      <c r="E1949"/>
      <c r="F1949"/>
    </row>
    <row r="1950" spans="1:6">
      <c r="A1950"/>
      <c r="B1950"/>
      <c r="C1950"/>
      <c r="D1950"/>
      <c r="E1950"/>
      <c r="F1950"/>
    </row>
    <row r="1951" spans="1:6">
      <c r="A1951"/>
      <c r="B1951"/>
      <c r="C1951"/>
      <c r="D1951"/>
      <c r="E1951"/>
      <c r="F1951"/>
    </row>
    <row r="1952" spans="1:6">
      <c r="A1952"/>
      <c r="B1952"/>
      <c r="C1952"/>
      <c r="D1952"/>
      <c r="E1952"/>
      <c r="F1952"/>
    </row>
    <row r="1953" spans="1:6">
      <c r="A1953"/>
      <c r="B1953"/>
      <c r="C1953"/>
      <c r="D1953"/>
      <c r="E1953"/>
      <c r="F1953"/>
    </row>
    <row r="1954" spans="1:6">
      <c r="A1954"/>
      <c r="B1954"/>
      <c r="C1954"/>
      <c r="D1954"/>
      <c r="E1954"/>
      <c r="F1954"/>
    </row>
    <row r="1955" spans="1:6">
      <c r="A1955"/>
      <c r="B1955"/>
      <c r="C1955"/>
      <c r="D1955"/>
      <c r="E1955"/>
      <c r="F1955"/>
    </row>
    <row r="1956" spans="1:6">
      <c r="A1956"/>
      <c r="B1956"/>
      <c r="C1956"/>
      <c r="D1956"/>
      <c r="E1956"/>
      <c r="F1956"/>
    </row>
    <row r="1957" spans="1:6">
      <c r="A1957"/>
      <c r="B1957"/>
      <c r="C1957"/>
      <c r="D1957"/>
      <c r="E1957"/>
      <c r="F1957"/>
    </row>
    <row r="1958" spans="1:6">
      <c r="A1958"/>
      <c r="B1958"/>
      <c r="C1958"/>
      <c r="D1958"/>
      <c r="E1958"/>
      <c r="F1958"/>
    </row>
    <row r="1959" spans="1:6">
      <c r="A1959"/>
      <c r="B1959"/>
      <c r="C1959"/>
      <c r="D1959"/>
      <c r="E1959"/>
      <c r="F1959"/>
    </row>
    <row r="1960" spans="1:6">
      <c r="A1960"/>
      <c r="B1960"/>
      <c r="C1960"/>
      <c r="D1960"/>
      <c r="E1960"/>
      <c r="F1960"/>
    </row>
    <row r="1961" spans="1:6">
      <c r="A1961"/>
      <c r="B1961"/>
      <c r="C1961"/>
      <c r="D1961"/>
      <c r="E1961"/>
      <c r="F1961"/>
    </row>
    <row r="1962" spans="1:6">
      <c r="A1962"/>
      <c r="B1962"/>
      <c r="C1962"/>
      <c r="D1962"/>
      <c r="E1962"/>
      <c r="F1962"/>
    </row>
    <row r="1963" spans="1:6">
      <c r="A1963"/>
      <c r="B1963"/>
      <c r="C1963"/>
      <c r="D1963"/>
      <c r="E1963"/>
      <c r="F1963"/>
    </row>
    <row r="1964" spans="1:6">
      <c r="A1964"/>
      <c r="B1964"/>
      <c r="C1964"/>
      <c r="D1964"/>
      <c r="E1964"/>
      <c r="F1964"/>
    </row>
    <row r="1965" spans="1:6">
      <c r="A1965"/>
      <c r="B1965"/>
      <c r="C1965"/>
      <c r="D1965"/>
      <c r="E1965"/>
      <c r="F1965"/>
    </row>
    <row r="1966" spans="1:6">
      <c r="A1966"/>
      <c r="B1966"/>
      <c r="C1966"/>
      <c r="D1966"/>
      <c r="E1966"/>
      <c r="F1966"/>
    </row>
    <row r="1967" spans="1:6">
      <c r="A1967"/>
      <c r="B1967"/>
      <c r="C1967"/>
      <c r="D1967"/>
      <c r="E1967"/>
      <c r="F1967"/>
    </row>
    <row r="1968" spans="1:6">
      <c r="A1968"/>
      <c r="B1968"/>
      <c r="C1968"/>
      <c r="D1968"/>
      <c r="E1968"/>
      <c r="F1968"/>
    </row>
    <row r="1969" spans="1:6">
      <c r="A1969"/>
      <c r="B1969"/>
      <c r="C1969"/>
      <c r="D1969"/>
      <c r="E1969"/>
      <c r="F1969"/>
    </row>
    <row r="1970" spans="1:6">
      <c r="A1970"/>
      <c r="B1970"/>
      <c r="C1970"/>
      <c r="D1970"/>
      <c r="E1970"/>
      <c r="F1970"/>
    </row>
    <row r="1971" spans="1:6">
      <c r="A1971"/>
      <c r="B1971"/>
      <c r="C1971"/>
      <c r="D1971"/>
      <c r="E1971"/>
      <c r="F1971"/>
    </row>
    <row r="1972" spans="1:6">
      <c r="A1972"/>
      <c r="B1972"/>
      <c r="C1972"/>
      <c r="D1972"/>
      <c r="E1972"/>
      <c r="F1972"/>
    </row>
    <row r="1973" spans="1:6">
      <c r="A1973"/>
      <c r="B1973"/>
      <c r="C1973"/>
      <c r="D1973"/>
      <c r="E1973"/>
      <c r="F1973"/>
    </row>
    <row r="1974" spans="1:6">
      <c r="A1974"/>
      <c r="B1974"/>
      <c r="C1974"/>
      <c r="D1974"/>
      <c r="E1974"/>
      <c r="F1974"/>
    </row>
    <row r="1975" spans="1:6">
      <c r="A1975"/>
      <c r="B1975"/>
      <c r="C1975"/>
      <c r="D1975"/>
      <c r="E1975"/>
      <c r="F1975"/>
    </row>
    <row r="1976" spans="1:6">
      <c r="A1976"/>
      <c r="B1976"/>
      <c r="C1976"/>
      <c r="D1976"/>
      <c r="E1976"/>
      <c r="F1976"/>
    </row>
    <row r="1977" spans="1:6">
      <c r="A1977"/>
      <c r="B1977"/>
      <c r="C1977"/>
      <c r="D1977"/>
      <c r="E1977"/>
      <c r="F1977"/>
    </row>
    <row r="1978" spans="1:6">
      <c r="A1978"/>
      <c r="B1978"/>
      <c r="C1978"/>
      <c r="D1978"/>
      <c r="E1978"/>
      <c r="F1978"/>
    </row>
    <row r="1979" spans="1:6">
      <c r="A1979"/>
      <c r="B1979"/>
      <c r="C1979"/>
      <c r="D1979"/>
      <c r="E1979"/>
      <c r="F1979"/>
    </row>
    <row r="1980" spans="1:6">
      <c r="A1980"/>
      <c r="B1980"/>
      <c r="C1980"/>
      <c r="D1980"/>
      <c r="E1980"/>
      <c r="F1980"/>
    </row>
    <row r="1981" spans="1:6">
      <c r="A1981"/>
      <c r="B1981"/>
      <c r="C1981"/>
      <c r="D1981"/>
      <c r="E1981"/>
      <c r="F1981"/>
    </row>
    <row r="1982" spans="1:6">
      <c r="A1982"/>
      <c r="B1982"/>
      <c r="C1982"/>
      <c r="D1982"/>
      <c r="E1982"/>
      <c r="F1982"/>
    </row>
    <row r="1983" spans="1:6">
      <c r="A1983"/>
      <c r="B1983"/>
      <c r="C1983"/>
      <c r="D1983"/>
      <c r="E1983"/>
      <c r="F1983"/>
    </row>
    <row r="1984" spans="1:6">
      <c r="A1984"/>
      <c r="B1984"/>
      <c r="C1984"/>
      <c r="D1984"/>
      <c r="E1984"/>
      <c r="F1984"/>
    </row>
    <row r="1985" spans="1:6">
      <c r="A1985"/>
      <c r="B1985"/>
      <c r="C1985"/>
      <c r="D1985"/>
      <c r="E1985"/>
      <c r="F1985"/>
    </row>
    <row r="1986" spans="1:6">
      <c r="A1986"/>
      <c r="B1986"/>
      <c r="C1986"/>
      <c r="D1986"/>
      <c r="E1986"/>
      <c r="F1986"/>
    </row>
    <row r="1987" spans="1:6">
      <c r="A1987"/>
      <c r="B1987"/>
      <c r="C1987"/>
      <c r="D1987"/>
      <c r="E1987"/>
      <c r="F1987"/>
    </row>
    <row r="1988" spans="1:6">
      <c r="A1988"/>
      <c r="B1988"/>
      <c r="C1988"/>
      <c r="D1988"/>
      <c r="E1988"/>
      <c r="F1988"/>
    </row>
    <row r="1989" spans="1:6">
      <c r="A1989"/>
      <c r="B1989"/>
      <c r="C1989"/>
      <c r="D1989"/>
      <c r="E1989"/>
      <c r="F1989"/>
    </row>
    <row r="1990" spans="1:6">
      <c r="A1990"/>
      <c r="B1990"/>
      <c r="C1990"/>
      <c r="D1990"/>
      <c r="E1990"/>
      <c r="F1990"/>
    </row>
    <row r="1991" spans="1:6">
      <c r="A1991"/>
      <c r="B1991"/>
      <c r="C1991"/>
      <c r="D1991"/>
      <c r="E1991"/>
      <c r="F1991"/>
    </row>
    <row r="1992" spans="1:6">
      <c r="A1992"/>
      <c r="B1992"/>
      <c r="C1992"/>
      <c r="D1992"/>
      <c r="E1992"/>
      <c r="F1992"/>
    </row>
    <row r="1993" spans="1:6">
      <c r="A1993"/>
      <c r="B1993"/>
      <c r="C1993"/>
      <c r="D1993"/>
      <c r="E1993"/>
      <c r="F1993"/>
    </row>
    <row r="1994" spans="1:6">
      <c r="A1994"/>
      <c r="B1994"/>
      <c r="C1994"/>
      <c r="D1994"/>
      <c r="E1994"/>
      <c r="F1994"/>
    </row>
    <row r="1995" spans="1:6">
      <c r="A1995"/>
      <c r="B1995"/>
      <c r="C1995"/>
      <c r="D1995"/>
      <c r="E1995"/>
      <c r="F1995"/>
    </row>
    <row r="1996" spans="1:6">
      <c r="A1996"/>
      <c r="B1996"/>
      <c r="C1996"/>
      <c r="D1996"/>
      <c r="E1996"/>
      <c r="F1996"/>
    </row>
    <row r="1997" spans="1:6">
      <c r="A1997"/>
      <c r="B1997"/>
      <c r="C1997"/>
      <c r="D1997"/>
      <c r="E1997"/>
      <c r="F1997"/>
    </row>
    <row r="1998" spans="1:6">
      <c r="A1998"/>
      <c r="B1998"/>
      <c r="C1998"/>
      <c r="D1998"/>
      <c r="E1998"/>
      <c r="F1998"/>
    </row>
    <row r="1999" spans="1:6">
      <c r="A1999"/>
      <c r="B1999"/>
      <c r="C1999"/>
      <c r="D1999"/>
      <c r="E1999"/>
      <c r="F1999"/>
    </row>
    <row r="2000" spans="1:6">
      <c r="A2000"/>
      <c r="B2000"/>
      <c r="C2000"/>
      <c r="D2000"/>
      <c r="E2000"/>
      <c r="F2000"/>
    </row>
    <row r="2001" spans="1:6">
      <c r="A2001"/>
      <c r="B2001"/>
      <c r="C2001"/>
      <c r="D2001"/>
      <c r="E2001"/>
      <c r="F2001"/>
    </row>
    <row r="2002" spans="1:6">
      <c r="A2002"/>
      <c r="B2002"/>
      <c r="C2002"/>
      <c r="D2002"/>
      <c r="E2002"/>
      <c r="F2002"/>
    </row>
    <row r="2003" spans="1:6">
      <c r="A2003"/>
      <c r="B2003"/>
      <c r="C2003"/>
      <c r="D2003"/>
      <c r="E2003"/>
      <c r="F2003"/>
    </row>
    <row r="2004" spans="1:6">
      <c r="A2004"/>
      <c r="B2004"/>
      <c r="C2004"/>
      <c r="D2004"/>
      <c r="E2004"/>
      <c r="F2004"/>
    </row>
    <row r="2005" spans="1:6">
      <c r="A2005"/>
      <c r="B2005"/>
      <c r="C2005"/>
      <c r="D2005"/>
      <c r="E2005"/>
      <c r="F2005"/>
    </row>
    <row r="2006" spans="1:6">
      <c r="A2006"/>
      <c r="B2006"/>
      <c r="C2006"/>
      <c r="D2006"/>
      <c r="E2006"/>
      <c r="F2006"/>
    </row>
    <row r="2007" spans="1:6">
      <c r="A2007"/>
      <c r="B2007"/>
      <c r="C2007"/>
      <c r="D2007"/>
      <c r="E2007"/>
      <c r="F2007"/>
    </row>
    <row r="2008" spans="1:6">
      <c r="A2008"/>
      <c r="B2008"/>
      <c r="C2008"/>
      <c r="D2008"/>
      <c r="E2008"/>
      <c r="F2008"/>
    </row>
    <row r="2009" spans="1:6">
      <c r="A2009"/>
      <c r="B2009"/>
      <c r="C2009"/>
      <c r="D2009"/>
      <c r="E2009"/>
      <c r="F2009"/>
    </row>
    <row r="2010" spans="1:6">
      <c r="A2010"/>
      <c r="B2010"/>
      <c r="C2010"/>
      <c r="D2010"/>
      <c r="E2010"/>
      <c r="F2010"/>
    </row>
    <row r="2011" spans="1:6">
      <c r="A2011"/>
      <c r="B2011"/>
      <c r="C2011"/>
      <c r="D2011"/>
      <c r="E2011"/>
      <c r="F2011"/>
    </row>
    <row r="2012" spans="1:6">
      <c r="A2012"/>
      <c r="B2012"/>
      <c r="C2012"/>
      <c r="D2012"/>
      <c r="E2012"/>
      <c r="F2012"/>
    </row>
    <row r="2013" spans="1:6">
      <c r="A2013"/>
      <c r="B2013"/>
      <c r="C2013"/>
      <c r="D2013"/>
      <c r="E2013"/>
      <c r="F2013"/>
    </row>
    <row r="2014" spans="1:6">
      <c r="A2014"/>
      <c r="B2014"/>
      <c r="C2014"/>
      <c r="D2014"/>
      <c r="E2014"/>
      <c r="F2014"/>
    </row>
    <row r="2015" spans="1:6">
      <c r="A2015"/>
      <c r="B2015"/>
      <c r="C2015"/>
      <c r="D2015"/>
      <c r="E2015"/>
      <c r="F2015"/>
    </row>
    <row r="2016" spans="1:6">
      <c r="A2016"/>
      <c r="B2016"/>
      <c r="C2016"/>
      <c r="D2016"/>
      <c r="E2016"/>
      <c r="F2016"/>
    </row>
    <row r="2017" spans="1:6">
      <c r="A2017"/>
      <c r="B2017"/>
      <c r="C2017"/>
      <c r="D2017"/>
      <c r="E2017"/>
      <c r="F2017"/>
    </row>
    <row r="2018" spans="1:6">
      <c r="A2018"/>
      <c r="B2018"/>
      <c r="C2018"/>
      <c r="D2018"/>
      <c r="E2018"/>
      <c r="F2018"/>
    </row>
    <row r="2019" spans="1:6">
      <c r="A2019"/>
      <c r="B2019"/>
      <c r="C2019"/>
      <c r="D2019"/>
      <c r="E2019"/>
      <c r="F2019"/>
    </row>
    <row r="2020" spans="1:6">
      <c r="A2020"/>
      <c r="B2020"/>
      <c r="C2020"/>
      <c r="D2020"/>
      <c r="E2020"/>
      <c r="F2020"/>
    </row>
    <row r="2021" spans="1:6">
      <c r="A2021"/>
      <c r="B2021"/>
      <c r="C2021"/>
      <c r="D2021"/>
      <c r="E2021"/>
      <c r="F2021"/>
    </row>
    <row r="2022" spans="1:6">
      <c r="A2022"/>
      <c r="B2022"/>
      <c r="C2022"/>
      <c r="D2022"/>
      <c r="E2022"/>
      <c r="F2022"/>
    </row>
    <row r="2023" spans="1:6">
      <c r="A2023"/>
      <c r="B2023"/>
      <c r="C2023"/>
      <c r="D2023"/>
      <c r="E2023"/>
      <c r="F2023"/>
    </row>
    <row r="2024" spans="1:6">
      <c r="A2024"/>
      <c r="B2024"/>
      <c r="C2024"/>
      <c r="D2024"/>
      <c r="E2024"/>
      <c r="F2024"/>
    </row>
    <row r="2025" spans="1:6">
      <c r="A2025"/>
      <c r="B2025"/>
      <c r="C2025"/>
      <c r="D2025"/>
      <c r="E2025"/>
      <c r="F2025"/>
    </row>
    <row r="2026" spans="1:6">
      <c r="A2026"/>
      <c r="B2026"/>
      <c r="C2026"/>
      <c r="D2026"/>
      <c r="E2026"/>
      <c r="F2026"/>
    </row>
    <row r="2027" spans="1:6">
      <c r="A2027"/>
      <c r="B2027"/>
      <c r="C2027"/>
      <c r="D2027"/>
      <c r="E2027"/>
      <c r="F2027"/>
    </row>
    <row r="2028" spans="1:6">
      <c r="A2028"/>
      <c r="B2028"/>
      <c r="C2028"/>
      <c r="D2028"/>
      <c r="E2028"/>
      <c r="F2028"/>
    </row>
    <row r="2029" spans="1:6">
      <c r="A2029"/>
      <c r="B2029"/>
      <c r="C2029"/>
      <c r="D2029"/>
      <c r="E2029"/>
      <c r="F2029"/>
    </row>
    <row r="2030" spans="1:6">
      <c r="A2030"/>
      <c r="B2030"/>
      <c r="C2030"/>
      <c r="D2030"/>
      <c r="E2030"/>
      <c r="F2030"/>
    </row>
    <row r="2031" spans="1:6">
      <c r="A2031"/>
      <c r="B2031"/>
      <c r="C2031"/>
      <c r="D2031"/>
      <c r="E2031"/>
      <c r="F2031"/>
    </row>
    <row r="2032" spans="1:6">
      <c r="A2032"/>
      <c r="B2032"/>
      <c r="C2032"/>
      <c r="D2032"/>
      <c r="E2032"/>
      <c r="F2032"/>
    </row>
    <row r="2033" spans="1:6">
      <c r="A2033"/>
      <c r="B2033"/>
      <c r="C2033"/>
      <c r="D2033"/>
      <c r="E2033"/>
      <c r="F2033"/>
    </row>
    <row r="2034" spans="1:6">
      <c r="A2034"/>
      <c r="B2034"/>
      <c r="C2034"/>
      <c r="D2034"/>
      <c r="E2034"/>
      <c r="F2034"/>
    </row>
    <row r="2035" spans="1:6">
      <c r="A2035"/>
      <c r="B2035"/>
      <c r="C2035"/>
      <c r="D2035"/>
      <c r="E2035"/>
      <c r="F2035"/>
    </row>
    <row r="2036" spans="1:6">
      <c r="A2036"/>
      <c r="B2036"/>
      <c r="C2036"/>
      <c r="D2036"/>
      <c r="E2036"/>
      <c r="F2036"/>
    </row>
    <row r="2037" spans="1:6">
      <c r="A2037"/>
      <c r="B2037"/>
      <c r="C2037"/>
      <c r="D2037"/>
      <c r="E2037"/>
      <c r="F2037"/>
    </row>
    <row r="2038" spans="1:6">
      <c r="A2038"/>
      <c r="B2038"/>
      <c r="C2038"/>
      <c r="D2038"/>
      <c r="E2038"/>
      <c r="F2038"/>
    </row>
    <row r="2039" spans="1:6">
      <c r="A2039"/>
      <c r="B2039"/>
      <c r="C2039"/>
      <c r="D2039"/>
      <c r="E2039"/>
      <c r="F2039"/>
    </row>
    <row r="2040" spans="1:6">
      <c r="A2040"/>
      <c r="B2040"/>
      <c r="C2040"/>
      <c r="D2040"/>
      <c r="E2040"/>
      <c r="F2040"/>
    </row>
    <row r="2041" spans="1:6">
      <c r="A2041"/>
      <c r="B2041"/>
      <c r="C2041"/>
      <c r="D2041"/>
      <c r="E2041"/>
      <c r="F2041"/>
    </row>
    <row r="2042" spans="1:6">
      <c r="A2042"/>
      <c r="B2042"/>
      <c r="C2042"/>
      <c r="D2042"/>
      <c r="E2042"/>
      <c r="F2042"/>
    </row>
    <row r="2043" spans="1:6">
      <c r="A2043"/>
      <c r="B2043"/>
      <c r="C2043"/>
      <c r="D2043"/>
      <c r="E2043"/>
      <c r="F2043"/>
    </row>
    <row r="2044" spans="1:6">
      <c r="A2044"/>
      <c r="B2044"/>
      <c r="C2044"/>
      <c r="D2044"/>
      <c r="E2044"/>
      <c r="F2044"/>
    </row>
    <row r="2045" spans="1:6">
      <c r="A2045"/>
      <c r="B2045"/>
      <c r="C2045"/>
      <c r="D2045"/>
      <c r="E2045"/>
      <c r="F2045"/>
    </row>
    <row r="2046" spans="1:6">
      <c r="A2046"/>
      <c r="B2046"/>
      <c r="C2046"/>
      <c r="D2046"/>
      <c r="E2046"/>
      <c r="F2046"/>
    </row>
    <row r="2047" spans="1:6">
      <c r="A2047"/>
      <c r="B2047"/>
      <c r="C2047"/>
      <c r="D2047"/>
      <c r="E2047"/>
      <c r="F2047"/>
    </row>
    <row r="2048" spans="1:6">
      <c r="A2048"/>
      <c r="B2048"/>
      <c r="C2048"/>
      <c r="D2048"/>
      <c r="E2048"/>
      <c r="F2048"/>
    </row>
    <row r="2049" spans="1:6">
      <c r="A2049"/>
      <c r="B2049"/>
      <c r="C2049"/>
      <c r="D2049"/>
      <c r="E2049"/>
      <c r="F2049"/>
    </row>
    <row r="2050" spans="1:6">
      <c r="A2050"/>
      <c r="B2050"/>
      <c r="C2050"/>
      <c r="D2050"/>
      <c r="E2050"/>
      <c r="F2050"/>
    </row>
    <row r="2051" spans="1:6">
      <c r="A2051"/>
      <c r="B2051"/>
      <c r="C2051"/>
      <c r="D2051"/>
      <c r="E2051"/>
      <c r="F2051"/>
    </row>
    <row r="2052" spans="1:6">
      <c r="A2052"/>
      <c r="B2052"/>
      <c r="C2052"/>
      <c r="D2052"/>
      <c r="E2052"/>
      <c r="F2052"/>
    </row>
    <row r="2053" spans="1:6">
      <c r="A2053"/>
      <c r="B2053"/>
      <c r="C2053"/>
      <c r="D2053"/>
      <c r="E2053"/>
      <c r="F2053"/>
    </row>
    <row r="2054" spans="1:6">
      <c r="A2054"/>
      <c r="B2054"/>
      <c r="C2054"/>
      <c r="D2054"/>
      <c r="E2054"/>
      <c r="F2054"/>
    </row>
    <row r="2055" spans="1:6">
      <c r="A2055"/>
      <c r="B2055"/>
      <c r="C2055"/>
      <c r="D2055"/>
      <c r="E2055"/>
      <c r="F2055"/>
    </row>
    <row r="2056" spans="1:6">
      <c r="A2056"/>
      <c r="B2056"/>
      <c r="C2056"/>
      <c r="D2056"/>
      <c r="E2056"/>
      <c r="F2056"/>
    </row>
    <row r="2057" spans="1:6">
      <c r="A2057"/>
      <c r="B2057"/>
      <c r="C2057"/>
      <c r="D2057"/>
      <c r="E2057"/>
      <c r="F2057"/>
    </row>
    <row r="2058" spans="1:6">
      <c r="A2058"/>
      <c r="B2058"/>
      <c r="C2058"/>
      <c r="D2058"/>
      <c r="E2058"/>
      <c r="F2058"/>
    </row>
    <row r="2059" spans="1:6">
      <c r="A2059"/>
      <c r="B2059"/>
      <c r="C2059"/>
      <c r="D2059"/>
      <c r="E2059"/>
      <c r="F2059"/>
    </row>
    <row r="2060" spans="1:6">
      <c r="A2060"/>
      <c r="B2060"/>
      <c r="C2060"/>
      <c r="D2060"/>
      <c r="E2060"/>
      <c r="F2060"/>
    </row>
    <row r="2061" spans="1:6">
      <c r="A2061"/>
      <c r="B2061"/>
      <c r="C2061"/>
      <c r="D2061"/>
      <c r="E2061"/>
      <c r="F2061"/>
    </row>
    <row r="2062" spans="1:6">
      <c r="A2062"/>
      <c r="B2062"/>
      <c r="C2062"/>
      <c r="D2062"/>
      <c r="E2062"/>
      <c r="F2062"/>
    </row>
    <row r="2063" spans="1:6">
      <c r="A2063"/>
      <c r="B2063"/>
      <c r="C2063"/>
      <c r="D2063"/>
      <c r="E2063"/>
      <c r="F2063"/>
    </row>
    <row r="2064" spans="1:6">
      <c r="A2064"/>
      <c r="B2064"/>
      <c r="C2064"/>
      <c r="D2064"/>
      <c r="E2064"/>
      <c r="F2064"/>
    </row>
    <row r="2065" spans="1:6">
      <c r="A2065"/>
      <c r="B2065"/>
      <c r="C2065"/>
      <c r="D2065"/>
      <c r="E2065"/>
      <c r="F2065"/>
    </row>
    <row r="2066" spans="1:6">
      <c r="A2066"/>
      <c r="B2066"/>
      <c r="C2066"/>
      <c r="D2066"/>
      <c r="E2066"/>
      <c r="F2066"/>
    </row>
    <row r="2067" spans="1:6">
      <c r="A2067"/>
      <c r="B2067"/>
      <c r="C2067"/>
      <c r="D2067"/>
      <c r="E2067"/>
      <c r="F2067"/>
    </row>
    <row r="2068" spans="1:6">
      <c r="A2068"/>
      <c r="B2068"/>
      <c r="C2068"/>
      <c r="D2068"/>
      <c r="E2068"/>
      <c r="F2068"/>
    </row>
    <row r="2069" spans="1:6">
      <c r="A2069"/>
      <c r="B2069"/>
      <c r="C2069"/>
      <c r="D2069"/>
      <c r="E2069"/>
      <c r="F2069"/>
    </row>
    <row r="2070" spans="1:6">
      <c r="A2070"/>
      <c r="B2070"/>
      <c r="C2070"/>
      <c r="D2070"/>
      <c r="E2070"/>
      <c r="F2070"/>
    </row>
    <row r="2071" spans="1:6">
      <c r="A2071"/>
      <c r="B2071"/>
      <c r="C2071"/>
      <c r="D2071"/>
      <c r="E2071"/>
      <c r="F2071"/>
    </row>
    <row r="2072" spans="1:6">
      <c r="A2072"/>
      <c r="B2072"/>
      <c r="C2072"/>
      <c r="D2072"/>
      <c r="E2072"/>
      <c r="F2072"/>
    </row>
    <row r="2073" spans="1:6">
      <c r="A2073"/>
      <c r="B2073"/>
      <c r="C2073"/>
      <c r="D2073"/>
      <c r="E2073"/>
      <c r="F2073"/>
    </row>
    <row r="2074" spans="1:6">
      <c r="A2074"/>
      <c r="B2074"/>
      <c r="C2074"/>
      <c r="D2074"/>
      <c r="E2074"/>
      <c r="F2074"/>
    </row>
    <row r="2075" spans="1:6">
      <c r="A2075"/>
      <c r="B2075"/>
      <c r="C2075"/>
      <c r="D2075"/>
      <c r="E2075"/>
      <c r="F2075"/>
    </row>
    <row r="2076" spans="1:6">
      <c r="A2076"/>
      <c r="B2076"/>
      <c r="C2076"/>
      <c r="D2076"/>
      <c r="E2076"/>
      <c r="F2076"/>
    </row>
    <row r="2077" spans="1:6">
      <c r="A2077"/>
      <c r="B2077"/>
      <c r="C2077"/>
      <c r="D2077"/>
      <c r="E2077"/>
      <c r="F2077"/>
    </row>
    <row r="2078" spans="1:6">
      <c r="A2078"/>
      <c r="B2078"/>
      <c r="C2078"/>
      <c r="D2078"/>
      <c r="E2078"/>
      <c r="F2078"/>
    </row>
    <row r="2079" spans="1:6">
      <c r="A2079"/>
      <c r="B2079"/>
      <c r="C2079"/>
      <c r="D2079"/>
      <c r="E2079"/>
      <c r="F2079"/>
    </row>
    <row r="2080" spans="1:6">
      <c r="A2080"/>
      <c r="B2080"/>
      <c r="C2080"/>
      <c r="D2080"/>
      <c r="E2080"/>
      <c r="F2080"/>
    </row>
    <row r="2081" spans="1:6">
      <c r="A2081"/>
      <c r="B2081"/>
      <c r="C2081"/>
      <c r="D2081"/>
      <c r="E2081"/>
      <c r="F2081"/>
    </row>
    <row r="2082" spans="1:6">
      <c r="A2082"/>
      <c r="B2082"/>
      <c r="C2082"/>
      <c r="D2082"/>
      <c r="E2082"/>
      <c r="F2082"/>
    </row>
    <row r="2083" spans="1:6">
      <c r="A2083"/>
      <c r="B2083"/>
      <c r="C2083"/>
      <c r="D2083"/>
      <c r="E2083"/>
      <c r="F2083"/>
    </row>
    <row r="2084" spans="1:6">
      <c r="A2084"/>
      <c r="B2084"/>
      <c r="C2084"/>
      <c r="D2084"/>
      <c r="E2084"/>
      <c r="F2084"/>
    </row>
    <row r="2085" spans="1:6">
      <c r="A2085"/>
      <c r="B2085"/>
      <c r="C2085"/>
      <c r="D2085"/>
      <c r="E2085"/>
      <c r="F2085"/>
    </row>
    <row r="2086" spans="1:6">
      <c r="A2086"/>
      <c r="B2086"/>
      <c r="C2086"/>
      <c r="D2086"/>
      <c r="E2086"/>
      <c r="F2086"/>
    </row>
    <row r="2087" spans="1:6">
      <c r="A2087"/>
      <c r="B2087"/>
      <c r="C2087"/>
      <c r="D2087"/>
      <c r="E2087"/>
      <c r="F2087"/>
    </row>
    <row r="2088" spans="1:6">
      <c r="A2088"/>
      <c r="B2088"/>
      <c r="C2088"/>
      <c r="D2088"/>
      <c r="E2088"/>
      <c r="F2088"/>
    </row>
    <row r="2089" spans="1:6">
      <c r="A2089"/>
      <c r="B2089"/>
      <c r="C2089"/>
      <c r="D2089"/>
      <c r="E2089"/>
      <c r="F2089"/>
    </row>
    <row r="2090" spans="1:6">
      <c r="A2090"/>
      <c r="B2090"/>
      <c r="C2090"/>
      <c r="D2090"/>
      <c r="E2090"/>
      <c r="F2090"/>
    </row>
    <row r="2091" spans="1:6">
      <c r="A2091"/>
      <c r="B2091"/>
      <c r="C2091"/>
      <c r="D2091"/>
      <c r="E2091"/>
      <c r="F2091"/>
    </row>
    <row r="2092" spans="1:6">
      <c r="A2092"/>
      <c r="B2092"/>
      <c r="C2092"/>
      <c r="D2092"/>
      <c r="E2092"/>
      <c r="F2092"/>
    </row>
    <row r="2093" spans="1:6">
      <c r="A2093"/>
      <c r="B2093"/>
      <c r="C2093"/>
      <c r="D2093"/>
      <c r="E2093"/>
      <c r="F2093"/>
    </row>
    <row r="2094" spans="1:6">
      <c r="A2094"/>
      <c r="B2094"/>
      <c r="C2094"/>
      <c r="D2094"/>
      <c r="E2094"/>
      <c r="F2094"/>
    </row>
    <row r="2095" spans="1:6">
      <c r="A2095"/>
      <c r="B2095"/>
      <c r="C2095"/>
      <c r="D2095"/>
      <c r="E2095"/>
      <c r="F2095"/>
    </row>
    <row r="2096" spans="1:6">
      <c r="A2096"/>
      <c r="B2096"/>
      <c r="C2096"/>
      <c r="D2096"/>
      <c r="E2096"/>
      <c r="F2096"/>
    </row>
    <row r="2097" spans="1:6">
      <c r="A2097"/>
      <c r="B2097"/>
      <c r="C2097"/>
      <c r="D2097"/>
      <c r="E2097"/>
      <c r="F2097"/>
    </row>
    <row r="2098" spans="1:6">
      <c r="A2098"/>
      <c r="B2098"/>
      <c r="C2098"/>
      <c r="D2098"/>
      <c r="E2098"/>
      <c r="F2098"/>
    </row>
    <row r="2099" spans="1:6">
      <c r="A2099"/>
      <c r="B2099"/>
      <c r="C2099"/>
      <c r="D2099"/>
      <c r="E2099"/>
      <c r="F2099"/>
    </row>
    <row r="2100" spans="1:6">
      <c r="A2100"/>
      <c r="B2100"/>
      <c r="C2100"/>
      <c r="D2100"/>
      <c r="E2100"/>
      <c r="F2100"/>
    </row>
    <row r="2101" spans="1:6">
      <c r="A2101"/>
      <c r="B2101"/>
      <c r="C2101"/>
      <c r="D2101"/>
      <c r="E2101"/>
      <c r="F2101"/>
    </row>
    <row r="2102" spans="1:6">
      <c r="A2102"/>
      <c r="B2102"/>
      <c r="C2102"/>
      <c r="D2102"/>
      <c r="E2102"/>
      <c r="F2102"/>
    </row>
    <row r="2103" spans="1:6">
      <c r="A2103"/>
      <c r="B2103"/>
      <c r="C2103"/>
      <c r="D2103"/>
      <c r="E2103"/>
      <c r="F2103"/>
    </row>
    <row r="2104" spans="1:6">
      <c r="A2104"/>
      <c r="B2104"/>
      <c r="C2104"/>
      <c r="D2104"/>
      <c r="E2104"/>
      <c r="F2104"/>
    </row>
    <row r="2105" spans="1:6">
      <c r="A2105"/>
      <c r="B2105"/>
      <c r="C2105"/>
      <c r="D2105"/>
      <c r="E2105"/>
      <c r="F2105"/>
    </row>
    <row r="2106" spans="1:6">
      <c r="A2106"/>
      <c r="B2106"/>
      <c r="C2106"/>
      <c r="D2106"/>
      <c r="E2106"/>
      <c r="F2106"/>
    </row>
    <row r="2107" spans="1:6">
      <c r="A2107"/>
      <c r="B2107"/>
      <c r="C2107"/>
      <c r="D2107"/>
      <c r="E2107"/>
      <c r="F2107"/>
    </row>
    <row r="2108" spans="1:6">
      <c r="A2108"/>
      <c r="B2108"/>
      <c r="C2108"/>
      <c r="D2108"/>
      <c r="E2108"/>
      <c r="F2108"/>
    </row>
    <row r="2109" spans="1:6">
      <c r="A2109"/>
      <c r="B2109"/>
      <c r="C2109"/>
      <c r="D2109"/>
      <c r="E2109"/>
      <c r="F2109"/>
    </row>
    <row r="2110" spans="1:6">
      <c r="A2110"/>
      <c r="B2110"/>
      <c r="C2110"/>
      <c r="D2110"/>
      <c r="E2110"/>
      <c r="F2110"/>
    </row>
    <row r="2111" spans="1:6">
      <c r="A2111"/>
      <c r="B2111"/>
      <c r="C2111"/>
      <c r="D2111"/>
      <c r="E2111"/>
      <c r="F2111"/>
    </row>
    <row r="2112" spans="1:6">
      <c r="A2112"/>
      <c r="B2112"/>
      <c r="C2112"/>
      <c r="D2112"/>
      <c r="E2112"/>
      <c r="F2112"/>
    </row>
    <row r="2113" spans="1:6">
      <c r="A2113"/>
      <c r="B2113"/>
      <c r="C2113"/>
      <c r="D2113"/>
      <c r="E2113"/>
      <c r="F2113"/>
    </row>
    <row r="2114" spans="1:6">
      <c r="A2114"/>
      <c r="B2114"/>
      <c r="C2114"/>
      <c r="D2114"/>
      <c r="E2114"/>
      <c r="F2114"/>
    </row>
    <row r="2115" spans="1:6">
      <c r="A2115"/>
      <c r="B2115"/>
      <c r="C2115"/>
      <c r="D2115"/>
      <c r="E2115"/>
      <c r="F2115"/>
    </row>
    <row r="2116" spans="1:6">
      <c r="A2116"/>
      <c r="B2116"/>
      <c r="C2116"/>
      <c r="D2116"/>
      <c r="E2116"/>
      <c r="F2116"/>
    </row>
    <row r="2117" spans="1:6">
      <c r="A2117"/>
      <c r="B2117"/>
      <c r="C2117"/>
      <c r="D2117"/>
      <c r="E2117"/>
      <c r="F2117"/>
    </row>
    <row r="2118" spans="1:6">
      <c r="A2118"/>
      <c r="B2118"/>
      <c r="C2118"/>
      <c r="D2118"/>
      <c r="E2118"/>
      <c r="F2118"/>
    </row>
    <row r="2119" spans="1:6">
      <c r="A2119"/>
      <c r="B2119"/>
      <c r="C2119"/>
      <c r="D2119"/>
      <c r="E2119"/>
      <c r="F2119"/>
    </row>
    <row r="2120" spans="1:6">
      <c r="A2120"/>
      <c r="B2120"/>
      <c r="C2120"/>
      <c r="D2120"/>
      <c r="E2120"/>
      <c r="F2120"/>
    </row>
    <row r="2121" spans="1:6">
      <c r="A2121"/>
      <c r="B2121"/>
      <c r="C2121"/>
      <c r="D2121"/>
      <c r="E2121"/>
      <c r="F2121"/>
    </row>
    <row r="2122" spans="1:6">
      <c r="A2122"/>
      <c r="B2122"/>
      <c r="C2122"/>
      <c r="D2122"/>
      <c r="E2122"/>
      <c r="F2122"/>
    </row>
    <row r="2123" spans="1:6">
      <c r="A2123"/>
      <c r="B2123"/>
      <c r="C2123"/>
      <c r="D2123"/>
      <c r="E2123"/>
      <c r="F2123"/>
    </row>
    <row r="2124" spans="1:6">
      <c r="A2124"/>
      <c r="B2124"/>
      <c r="C2124"/>
      <c r="D2124"/>
      <c r="E2124"/>
      <c r="F2124"/>
    </row>
    <row r="2125" spans="1:6">
      <c r="A2125"/>
      <c r="B2125"/>
      <c r="C2125"/>
      <c r="D2125"/>
      <c r="E2125"/>
      <c r="F2125"/>
    </row>
    <row r="2126" spans="1:6">
      <c r="A2126"/>
      <c r="B2126"/>
      <c r="C2126"/>
      <c r="D2126"/>
      <c r="E2126"/>
      <c r="F2126"/>
    </row>
    <row r="2127" spans="1:6">
      <c r="A2127"/>
      <c r="B2127"/>
      <c r="C2127"/>
      <c r="D2127"/>
      <c r="E2127"/>
      <c r="F2127"/>
    </row>
    <row r="2128" spans="1:6">
      <c r="A2128"/>
      <c r="B2128"/>
      <c r="C2128"/>
      <c r="D2128"/>
      <c r="E2128"/>
      <c r="F2128"/>
    </row>
    <row r="2129" spans="1:6">
      <c r="A2129"/>
      <c r="B2129"/>
      <c r="C2129"/>
      <c r="D2129"/>
      <c r="E2129"/>
      <c r="F2129"/>
    </row>
    <row r="2130" spans="1:6">
      <c r="A2130"/>
      <c r="B2130"/>
      <c r="C2130"/>
      <c r="D2130"/>
      <c r="E2130"/>
      <c r="F2130"/>
    </row>
    <row r="2131" spans="1:6">
      <c r="A2131"/>
      <c r="B2131"/>
      <c r="C2131"/>
      <c r="D2131"/>
      <c r="E2131"/>
      <c r="F2131"/>
    </row>
    <row r="2132" spans="1:6">
      <c r="A2132"/>
      <c r="B2132"/>
      <c r="C2132"/>
      <c r="D2132"/>
      <c r="E2132"/>
      <c r="F2132"/>
    </row>
    <row r="2133" spans="1:6">
      <c r="A2133"/>
      <c r="B2133"/>
      <c r="C2133"/>
      <c r="D2133"/>
      <c r="E2133"/>
      <c r="F2133"/>
    </row>
    <row r="2134" spans="1:6">
      <c r="A2134"/>
      <c r="B2134"/>
      <c r="C2134"/>
      <c r="D2134"/>
      <c r="E2134"/>
      <c r="F2134"/>
    </row>
    <row r="2135" spans="1:6">
      <c r="A2135"/>
      <c r="B2135"/>
      <c r="C2135"/>
      <c r="D2135"/>
      <c r="E2135"/>
      <c r="F2135"/>
    </row>
    <row r="2136" spans="1:6">
      <c r="A2136"/>
      <c r="B2136"/>
      <c r="C2136"/>
      <c r="D2136"/>
      <c r="E2136"/>
      <c r="F2136"/>
    </row>
    <row r="2137" spans="1:6">
      <c r="A2137"/>
      <c r="B2137"/>
      <c r="C2137"/>
      <c r="D2137"/>
      <c r="E2137"/>
      <c r="F2137"/>
    </row>
    <row r="2138" spans="1:6">
      <c r="A2138"/>
      <c r="B2138"/>
      <c r="C2138"/>
      <c r="D2138"/>
      <c r="E2138"/>
      <c r="F2138"/>
    </row>
    <row r="2139" spans="1:6">
      <c r="A2139"/>
      <c r="B2139"/>
      <c r="C2139"/>
      <c r="D2139"/>
      <c r="E2139"/>
      <c r="F2139"/>
    </row>
    <row r="2140" spans="1:6">
      <c r="A2140"/>
      <c r="B2140"/>
      <c r="C2140"/>
      <c r="D2140"/>
      <c r="E2140"/>
      <c r="F2140"/>
    </row>
    <row r="2141" spans="1:6">
      <c r="A2141"/>
      <c r="B2141"/>
      <c r="C2141"/>
      <c r="D2141"/>
      <c r="E2141"/>
      <c r="F2141"/>
    </row>
    <row r="2142" spans="1:6">
      <c r="A2142"/>
      <c r="B2142"/>
      <c r="C2142"/>
      <c r="D2142"/>
      <c r="E2142"/>
      <c r="F2142"/>
    </row>
    <row r="2143" spans="1:6">
      <c r="A2143"/>
      <c r="B2143"/>
      <c r="C2143"/>
      <c r="D2143"/>
      <c r="E2143"/>
      <c r="F2143"/>
    </row>
    <row r="2144" spans="1:6">
      <c r="A2144"/>
      <c r="B2144"/>
      <c r="C2144"/>
      <c r="D2144"/>
      <c r="E2144"/>
      <c r="F2144"/>
    </row>
    <row r="2145" spans="1:6">
      <c r="A2145"/>
      <c r="B2145"/>
      <c r="C2145"/>
      <c r="D2145"/>
      <c r="E2145"/>
      <c r="F2145"/>
    </row>
    <row r="2146" spans="1:6">
      <c r="A2146"/>
      <c r="B2146"/>
      <c r="C2146"/>
      <c r="D2146"/>
      <c r="E2146"/>
      <c r="F2146"/>
    </row>
    <row r="2147" spans="1:6">
      <c r="A2147"/>
      <c r="B2147"/>
      <c r="C2147"/>
      <c r="D2147"/>
      <c r="E2147"/>
      <c r="F2147"/>
    </row>
    <row r="2148" spans="1:6">
      <c r="A2148"/>
      <c r="B2148"/>
      <c r="C2148"/>
      <c r="D2148"/>
      <c r="E2148"/>
      <c r="F2148"/>
    </row>
    <row r="2149" spans="1:6">
      <c r="A2149"/>
      <c r="B2149"/>
      <c r="C2149"/>
      <c r="D2149"/>
      <c r="E2149"/>
      <c r="F2149"/>
    </row>
    <row r="2150" spans="1:6">
      <c r="A2150"/>
      <c r="B2150"/>
      <c r="C2150"/>
      <c r="D2150"/>
      <c r="E2150"/>
      <c r="F2150"/>
    </row>
    <row r="2151" spans="1:6">
      <c r="A2151"/>
      <c r="B2151"/>
      <c r="C2151"/>
      <c r="D2151"/>
      <c r="E2151"/>
      <c r="F2151"/>
    </row>
    <row r="2152" spans="1:6">
      <c r="A2152"/>
      <c r="B2152"/>
      <c r="C2152"/>
      <c r="D2152"/>
      <c r="E2152"/>
      <c r="F2152"/>
    </row>
    <row r="2153" spans="1:6">
      <c r="A2153"/>
      <c r="B2153"/>
      <c r="C2153"/>
      <c r="D2153"/>
      <c r="E2153"/>
      <c r="F2153"/>
    </row>
    <row r="2154" spans="1:6">
      <c r="A2154"/>
      <c r="B2154"/>
      <c r="C2154"/>
      <c r="D2154"/>
      <c r="E2154"/>
      <c r="F2154"/>
    </row>
    <row r="2155" spans="1:6">
      <c r="A2155"/>
      <c r="B2155"/>
      <c r="C2155"/>
      <c r="D2155"/>
      <c r="E2155"/>
      <c r="F2155"/>
    </row>
    <row r="2156" spans="1:6">
      <c r="A2156"/>
      <c r="B2156"/>
      <c r="C2156"/>
      <c r="D2156"/>
      <c r="E2156"/>
      <c r="F2156"/>
    </row>
    <row r="2157" spans="1:6">
      <c r="A2157"/>
      <c r="B2157"/>
      <c r="C2157"/>
      <c r="D2157"/>
      <c r="E2157"/>
      <c r="F2157"/>
    </row>
    <row r="2158" spans="1:6">
      <c r="A2158"/>
      <c r="B2158"/>
      <c r="C2158"/>
      <c r="D2158"/>
      <c r="E2158"/>
      <c r="F2158"/>
    </row>
    <row r="2159" spans="1:6">
      <c r="A2159"/>
      <c r="B2159"/>
      <c r="C2159"/>
      <c r="D2159"/>
      <c r="E2159"/>
      <c r="F2159"/>
    </row>
    <row r="2160" spans="1:6">
      <c r="A2160"/>
      <c r="B2160"/>
      <c r="C2160"/>
      <c r="D2160"/>
      <c r="E2160"/>
      <c r="F2160"/>
    </row>
    <row r="2161" spans="1:6">
      <c r="A2161"/>
      <c r="B2161"/>
      <c r="C2161"/>
      <c r="D2161"/>
      <c r="E2161"/>
      <c r="F2161"/>
    </row>
    <row r="2162" spans="1:6">
      <c r="A2162"/>
      <c r="B2162"/>
      <c r="C2162"/>
      <c r="D2162"/>
      <c r="E2162"/>
      <c r="F2162"/>
    </row>
    <row r="2163" spans="1:6">
      <c r="A2163"/>
      <c r="B2163"/>
      <c r="C2163"/>
      <c r="D2163"/>
      <c r="E2163"/>
      <c r="F2163"/>
    </row>
    <row r="2164" spans="1:6">
      <c r="A2164"/>
      <c r="B2164"/>
      <c r="C2164"/>
      <c r="D2164"/>
      <c r="E2164"/>
      <c r="F2164"/>
    </row>
    <row r="2165" spans="1:6">
      <c r="A2165"/>
      <c r="B2165"/>
      <c r="C2165"/>
      <c r="D2165"/>
      <c r="E2165"/>
      <c r="F2165"/>
    </row>
    <row r="2166" spans="1:6">
      <c r="A2166"/>
      <c r="B2166"/>
      <c r="C2166"/>
      <c r="D2166"/>
      <c r="E2166"/>
      <c r="F2166"/>
    </row>
    <row r="2167" spans="1:6">
      <c r="A2167"/>
      <c r="B2167"/>
      <c r="C2167"/>
      <c r="D2167"/>
      <c r="E2167"/>
      <c r="F2167"/>
    </row>
    <row r="2168" spans="1:6">
      <c r="A2168"/>
      <c r="B2168"/>
      <c r="C2168"/>
      <c r="D2168"/>
      <c r="E2168"/>
      <c r="F2168"/>
    </row>
    <row r="2169" spans="1:6">
      <c r="A2169"/>
      <c r="B2169"/>
      <c r="C2169"/>
      <c r="D2169"/>
      <c r="E2169"/>
      <c r="F2169"/>
    </row>
    <row r="2170" spans="1:6">
      <c r="A2170"/>
      <c r="B2170"/>
      <c r="C2170"/>
      <c r="D2170"/>
      <c r="E2170"/>
      <c r="F2170"/>
    </row>
    <row r="2171" spans="1:6">
      <c r="A2171"/>
      <c r="B2171"/>
      <c r="C2171"/>
      <c r="D2171"/>
      <c r="E2171"/>
      <c r="F2171"/>
    </row>
    <row r="2172" spans="1:6">
      <c r="A2172"/>
      <c r="B2172"/>
      <c r="C2172"/>
      <c r="D2172"/>
      <c r="E2172"/>
      <c r="F2172"/>
    </row>
    <row r="2173" spans="1:6">
      <c r="A2173"/>
      <c r="B2173"/>
      <c r="C2173"/>
      <c r="D2173"/>
      <c r="E2173"/>
      <c r="F2173"/>
    </row>
    <row r="2174" spans="1:6">
      <c r="A2174"/>
      <c r="B2174"/>
      <c r="C2174"/>
      <c r="D2174"/>
      <c r="E2174"/>
      <c r="F2174"/>
    </row>
    <row r="2175" spans="1:6">
      <c r="A2175"/>
      <c r="B2175"/>
      <c r="C2175"/>
      <c r="D2175"/>
      <c r="E2175"/>
      <c r="F2175"/>
    </row>
    <row r="2176" spans="1:6">
      <c r="A2176"/>
      <c r="B2176"/>
      <c r="C2176"/>
      <c r="D2176"/>
      <c r="E2176"/>
      <c r="F2176"/>
    </row>
    <row r="2177" spans="1:6">
      <c r="A2177"/>
      <c r="B2177"/>
      <c r="C2177"/>
      <c r="D2177"/>
      <c r="E2177"/>
      <c r="F2177"/>
    </row>
    <row r="2178" spans="1:6">
      <c r="A2178"/>
      <c r="B2178"/>
      <c r="C2178"/>
      <c r="D2178"/>
      <c r="E2178"/>
      <c r="F2178"/>
    </row>
    <row r="2179" spans="1:6">
      <c r="A2179"/>
      <c r="B2179"/>
      <c r="C2179"/>
      <c r="D2179"/>
      <c r="E2179"/>
      <c r="F2179"/>
    </row>
    <row r="2180" spans="1:6">
      <c r="A2180"/>
      <c r="B2180"/>
      <c r="C2180"/>
      <c r="D2180"/>
      <c r="E2180"/>
      <c r="F2180"/>
    </row>
    <row r="2181" spans="1:6">
      <c r="A2181"/>
      <c r="B2181"/>
      <c r="C2181"/>
      <c r="D2181"/>
      <c r="E2181"/>
      <c r="F2181"/>
    </row>
    <row r="2182" spans="1:6">
      <c r="A2182"/>
      <c r="B2182"/>
      <c r="C2182"/>
      <c r="D2182"/>
      <c r="E2182"/>
      <c r="F2182"/>
    </row>
    <row r="2183" spans="1:6">
      <c r="A2183"/>
      <c r="B2183"/>
      <c r="C2183"/>
      <c r="D2183"/>
      <c r="E2183"/>
      <c r="F2183"/>
    </row>
    <row r="2184" spans="1:6">
      <c r="A2184"/>
      <c r="B2184"/>
      <c r="C2184"/>
      <c r="D2184"/>
      <c r="E2184"/>
      <c r="F2184"/>
    </row>
    <row r="2185" spans="1:6">
      <c r="A2185"/>
      <c r="B2185"/>
      <c r="C2185"/>
      <c r="D2185"/>
      <c r="E2185"/>
      <c r="F2185"/>
    </row>
    <row r="2186" spans="1:6">
      <c r="A2186"/>
      <c r="B2186"/>
      <c r="C2186"/>
      <c r="D2186"/>
      <c r="E2186"/>
      <c r="F2186"/>
    </row>
    <row r="2187" spans="1:6">
      <c r="A2187"/>
      <c r="B2187"/>
      <c r="C2187"/>
      <c r="D2187"/>
      <c r="E2187"/>
      <c r="F2187"/>
    </row>
    <row r="2188" spans="1:6">
      <c r="A2188"/>
      <c r="B2188"/>
      <c r="C2188"/>
      <c r="D2188"/>
      <c r="E2188"/>
      <c r="F2188"/>
    </row>
    <row r="2189" spans="1:6">
      <c r="A2189"/>
      <c r="B2189"/>
      <c r="C2189"/>
      <c r="D2189"/>
      <c r="E2189"/>
      <c r="F2189"/>
    </row>
    <row r="2190" spans="1:6">
      <c r="A2190"/>
      <c r="B2190"/>
      <c r="C2190"/>
      <c r="D2190"/>
      <c r="E2190"/>
      <c r="F2190"/>
    </row>
    <row r="2191" spans="1:6">
      <c r="A2191"/>
      <c r="B2191"/>
      <c r="C2191"/>
      <c r="D2191"/>
      <c r="E2191"/>
      <c r="F2191"/>
    </row>
    <row r="2192" spans="1:6">
      <c r="A2192"/>
      <c r="B2192"/>
      <c r="C2192"/>
      <c r="D2192"/>
      <c r="E2192"/>
      <c r="F2192"/>
    </row>
    <row r="2193" spans="1:6">
      <c r="A2193"/>
      <c r="B2193"/>
      <c r="C2193"/>
      <c r="D2193"/>
      <c r="E2193"/>
      <c r="F2193"/>
    </row>
    <row r="2194" spans="1:6">
      <c r="A2194"/>
      <c r="B2194"/>
      <c r="C2194"/>
      <c r="D2194"/>
      <c r="E2194"/>
      <c r="F2194"/>
    </row>
    <row r="2195" spans="1:6">
      <c r="A2195"/>
      <c r="B2195"/>
      <c r="C2195"/>
      <c r="D2195"/>
      <c r="E2195"/>
      <c r="F2195"/>
    </row>
    <row r="2196" spans="1:6">
      <c r="A2196"/>
      <c r="B2196"/>
      <c r="C2196"/>
      <c r="D2196"/>
      <c r="E2196"/>
      <c r="F2196"/>
    </row>
    <row r="2197" spans="1:6">
      <c r="A2197"/>
      <c r="B2197"/>
      <c r="C2197"/>
      <c r="D2197"/>
      <c r="E2197"/>
      <c r="F2197"/>
    </row>
    <row r="2198" spans="1:6">
      <c r="A2198"/>
      <c r="B2198"/>
      <c r="C2198"/>
      <c r="D2198"/>
      <c r="E2198"/>
      <c r="F2198"/>
    </row>
    <row r="2199" spans="1:6">
      <c r="A2199"/>
      <c r="B2199"/>
      <c r="C2199"/>
      <c r="D2199"/>
      <c r="E2199"/>
      <c r="F2199"/>
    </row>
    <row r="2200" spans="1:6">
      <c r="A2200"/>
      <c r="B2200"/>
      <c r="C2200"/>
      <c r="D2200"/>
      <c r="E2200"/>
      <c r="F2200"/>
    </row>
    <row r="2201" spans="1:6">
      <c r="A2201"/>
      <c r="B2201"/>
      <c r="C2201"/>
      <c r="D2201"/>
      <c r="E2201"/>
      <c r="F2201"/>
    </row>
    <row r="2202" spans="1:6">
      <c r="A2202"/>
      <c r="B2202"/>
      <c r="C2202"/>
      <c r="D2202"/>
      <c r="E2202"/>
      <c r="F2202"/>
    </row>
    <row r="2203" spans="1:6">
      <c r="A2203"/>
      <c r="B2203"/>
      <c r="C2203"/>
      <c r="D2203"/>
      <c r="E2203"/>
      <c r="F2203"/>
    </row>
    <row r="2204" spans="1:6">
      <c r="A2204"/>
      <c r="B2204"/>
      <c r="C2204"/>
      <c r="D2204"/>
      <c r="E2204"/>
      <c r="F2204"/>
    </row>
    <row r="2205" spans="1:6">
      <c r="A2205"/>
      <c r="B2205"/>
      <c r="C2205"/>
      <c r="D2205"/>
      <c r="E2205"/>
      <c r="F2205"/>
    </row>
    <row r="2206" spans="1:6">
      <c r="A2206"/>
      <c r="B2206"/>
      <c r="C2206"/>
      <c r="D2206"/>
      <c r="E2206"/>
      <c r="F2206"/>
    </row>
    <row r="2207" spans="1:6">
      <c r="A2207"/>
      <c r="B2207"/>
      <c r="C2207"/>
      <c r="D2207"/>
      <c r="E2207"/>
      <c r="F2207"/>
    </row>
    <row r="2208" spans="1:6">
      <c r="A2208"/>
      <c r="B2208"/>
      <c r="C2208"/>
      <c r="D2208"/>
      <c r="E2208"/>
      <c r="F2208"/>
    </row>
    <row r="2209" spans="1:6">
      <c r="A2209"/>
      <c r="B2209"/>
      <c r="C2209"/>
      <c r="D2209"/>
      <c r="E2209"/>
      <c r="F2209"/>
    </row>
    <row r="2210" spans="1:6">
      <c r="A2210"/>
      <c r="B2210"/>
      <c r="C2210"/>
      <c r="D2210"/>
      <c r="E2210"/>
      <c r="F2210"/>
    </row>
    <row r="2211" spans="1:6">
      <c r="A2211"/>
      <c r="B2211"/>
      <c r="C2211"/>
      <c r="D2211"/>
      <c r="E2211"/>
      <c r="F2211"/>
    </row>
    <row r="2212" spans="1:6">
      <c r="A2212"/>
      <c r="B2212"/>
      <c r="C2212"/>
      <c r="D2212"/>
      <c r="E2212"/>
      <c r="F2212"/>
    </row>
    <row r="2213" spans="1:6">
      <c r="A2213"/>
      <c r="B2213"/>
      <c r="C2213"/>
      <c r="D2213"/>
      <c r="E2213"/>
      <c r="F2213"/>
    </row>
    <row r="2214" spans="1:6">
      <c r="A2214"/>
      <c r="B2214"/>
      <c r="C2214"/>
      <c r="D2214"/>
      <c r="E2214"/>
      <c r="F2214"/>
    </row>
    <row r="2215" spans="1:6">
      <c r="A2215"/>
      <c r="B2215"/>
      <c r="C2215"/>
      <c r="D2215"/>
      <c r="E2215"/>
      <c r="F2215"/>
    </row>
    <row r="2216" spans="1:6">
      <c r="A2216"/>
      <c r="B2216"/>
      <c r="C2216"/>
      <c r="D2216"/>
      <c r="E2216"/>
      <c r="F2216"/>
    </row>
    <row r="2217" spans="1:6">
      <c r="A2217"/>
      <c r="B2217"/>
      <c r="C2217"/>
      <c r="D2217"/>
      <c r="E2217"/>
      <c r="F2217"/>
    </row>
    <row r="2218" spans="1:6">
      <c r="A2218"/>
      <c r="B2218"/>
      <c r="C2218"/>
      <c r="D2218"/>
      <c r="E2218"/>
      <c r="F2218"/>
    </row>
    <row r="2219" spans="1:6">
      <c r="A2219"/>
      <c r="B2219"/>
      <c r="C2219"/>
      <c r="D2219"/>
      <c r="E2219"/>
      <c r="F2219"/>
    </row>
    <row r="2220" spans="1:6">
      <c r="A2220"/>
      <c r="B2220"/>
      <c r="C2220"/>
      <c r="D2220"/>
      <c r="E2220"/>
      <c r="F2220"/>
    </row>
    <row r="2221" spans="1:6">
      <c r="A2221"/>
      <c r="B2221"/>
      <c r="C2221"/>
      <c r="D2221"/>
      <c r="E2221"/>
      <c r="F2221"/>
    </row>
    <row r="2222" spans="1:6">
      <c r="A2222"/>
      <c r="B2222"/>
      <c r="C2222"/>
      <c r="D2222"/>
      <c r="E2222"/>
      <c r="F2222"/>
    </row>
    <row r="2223" spans="1:6">
      <c r="A2223"/>
      <c r="B2223"/>
      <c r="C2223"/>
      <c r="D2223"/>
      <c r="E2223"/>
      <c r="F2223"/>
    </row>
    <row r="2224" spans="1:6">
      <c r="A2224"/>
      <c r="B2224"/>
      <c r="C2224"/>
      <c r="D2224"/>
      <c r="E2224"/>
      <c r="F2224"/>
    </row>
    <row r="2225" spans="1:6">
      <c r="A2225"/>
      <c r="B2225"/>
      <c r="C2225"/>
      <c r="D2225"/>
      <c r="E2225"/>
      <c r="F2225"/>
    </row>
    <row r="2226" spans="1:6">
      <c r="A2226"/>
      <c r="B2226"/>
      <c r="C2226"/>
      <c r="D2226"/>
      <c r="E2226"/>
      <c r="F2226"/>
    </row>
    <row r="2227" spans="1:6">
      <c r="A2227"/>
      <c r="B2227"/>
      <c r="C2227"/>
      <c r="D2227"/>
      <c r="E2227"/>
      <c r="F2227"/>
    </row>
    <row r="2228" spans="1:6">
      <c r="A2228"/>
      <c r="B2228"/>
      <c r="C2228"/>
      <c r="D2228"/>
      <c r="E2228"/>
      <c r="F2228"/>
    </row>
    <row r="2229" spans="1:6">
      <c r="A2229"/>
      <c r="B2229"/>
      <c r="C2229"/>
      <c r="D2229"/>
      <c r="E2229"/>
      <c r="F2229"/>
    </row>
    <row r="2230" spans="1:6">
      <c r="A2230"/>
      <c r="B2230"/>
      <c r="C2230"/>
      <c r="D2230"/>
      <c r="E2230"/>
      <c r="F2230"/>
    </row>
    <row r="2231" spans="1:6">
      <c r="A2231"/>
      <c r="B2231"/>
      <c r="C2231"/>
      <c r="D2231"/>
      <c r="E2231"/>
      <c r="F2231"/>
    </row>
    <row r="2232" spans="1:6">
      <c r="A2232"/>
      <c r="B2232"/>
      <c r="C2232"/>
      <c r="D2232"/>
      <c r="E2232"/>
      <c r="F2232"/>
    </row>
    <row r="2233" spans="1:6">
      <c r="A2233"/>
      <c r="B2233"/>
      <c r="C2233"/>
      <c r="D2233"/>
      <c r="E2233"/>
      <c r="F2233"/>
    </row>
    <row r="2234" spans="1:6">
      <c r="A2234"/>
      <c r="B2234"/>
      <c r="C2234"/>
      <c r="D2234"/>
      <c r="E2234"/>
      <c r="F2234"/>
    </row>
    <row r="2235" spans="1:6">
      <c r="A2235"/>
      <c r="B2235"/>
      <c r="C2235"/>
      <c r="D2235"/>
      <c r="E2235"/>
      <c r="F2235"/>
    </row>
    <row r="2236" spans="1:6">
      <c r="A2236"/>
      <c r="B2236"/>
      <c r="C2236"/>
      <c r="D2236"/>
      <c r="E2236"/>
      <c r="F2236"/>
    </row>
    <row r="2237" spans="1:6">
      <c r="A2237"/>
      <c r="B2237"/>
      <c r="C2237"/>
      <c r="D2237"/>
      <c r="E2237"/>
      <c r="F2237"/>
    </row>
    <row r="2238" spans="1:6">
      <c r="A2238"/>
      <c r="B2238"/>
      <c r="C2238"/>
      <c r="D2238"/>
      <c r="E2238"/>
      <c r="F2238"/>
    </row>
    <row r="2239" spans="1:6">
      <c r="A2239"/>
      <c r="B2239"/>
      <c r="C2239"/>
      <c r="D2239"/>
      <c r="E2239"/>
      <c r="F2239"/>
    </row>
    <row r="2240" spans="1:6">
      <c r="A2240"/>
      <c r="B2240"/>
      <c r="C2240"/>
      <c r="D2240"/>
      <c r="E2240"/>
      <c r="F2240"/>
    </row>
    <row r="2241" spans="1:6">
      <c r="A2241"/>
      <c r="B2241"/>
      <c r="C2241"/>
      <c r="D2241"/>
      <c r="E2241"/>
      <c r="F2241"/>
    </row>
    <row r="2242" spans="1:6">
      <c r="A2242"/>
      <c r="B2242"/>
      <c r="C2242"/>
      <c r="D2242"/>
      <c r="E2242"/>
      <c r="F2242"/>
    </row>
    <row r="2243" spans="1:6">
      <c r="A2243"/>
      <c r="B2243"/>
      <c r="C2243"/>
      <c r="D2243"/>
      <c r="E2243"/>
      <c r="F2243"/>
    </row>
    <row r="2244" spans="1:6">
      <c r="A2244"/>
      <c r="B2244"/>
      <c r="C2244"/>
      <c r="D2244"/>
      <c r="E2244"/>
      <c r="F2244"/>
    </row>
    <row r="2245" spans="1:6">
      <c r="A2245"/>
      <c r="B2245"/>
      <c r="C2245"/>
      <c r="D2245"/>
      <c r="E2245"/>
      <c r="F2245"/>
    </row>
    <row r="2246" spans="1:6">
      <c r="A2246"/>
      <c r="B2246"/>
      <c r="C2246"/>
      <c r="D2246"/>
      <c r="E2246"/>
      <c r="F2246"/>
    </row>
    <row r="2247" spans="1:6">
      <c r="A2247"/>
      <c r="B2247"/>
      <c r="C2247"/>
      <c r="D2247"/>
      <c r="E2247"/>
      <c r="F2247"/>
    </row>
    <row r="2248" spans="1:6">
      <c r="A2248"/>
      <c r="B2248"/>
      <c r="C2248"/>
      <c r="D2248"/>
      <c r="E2248"/>
      <c r="F2248"/>
    </row>
    <row r="2249" spans="1:6">
      <c r="A2249"/>
      <c r="B2249"/>
      <c r="C2249"/>
      <c r="D2249"/>
      <c r="E2249"/>
      <c r="F2249"/>
    </row>
    <row r="2250" spans="1:6">
      <c r="A2250"/>
      <c r="B2250"/>
      <c r="C2250"/>
      <c r="D2250"/>
      <c r="E2250"/>
      <c r="F2250"/>
    </row>
    <row r="2251" spans="1:6">
      <c r="A2251"/>
      <c r="B2251"/>
      <c r="C2251"/>
      <c r="D2251"/>
      <c r="E2251"/>
      <c r="F2251"/>
    </row>
    <row r="2252" spans="1:6">
      <c r="A2252"/>
      <c r="B2252"/>
      <c r="C2252"/>
      <c r="D2252"/>
      <c r="E2252"/>
      <c r="F2252"/>
    </row>
    <row r="2253" spans="1:6">
      <c r="A2253"/>
      <c r="B2253"/>
      <c r="C2253"/>
      <c r="D2253"/>
      <c r="E2253"/>
      <c r="F2253"/>
    </row>
    <row r="2254" spans="1:6">
      <c r="A2254"/>
      <c r="B2254"/>
      <c r="C2254"/>
      <c r="D2254"/>
      <c r="E2254"/>
      <c r="F2254"/>
    </row>
    <row r="2255" spans="1:6">
      <c r="A2255"/>
      <c r="B2255"/>
      <c r="C2255"/>
      <c r="D2255"/>
      <c r="E2255"/>
      <c r="F2255"/>
    </row>
    <row r="2256" spans="1:6">
      <c r="A2256"/>
      <c r="B2256"/>
      <c r="C2256"/>
      <c r="D2256"/>
      <c r="E2256"/>
      <c r="F2256"/>
    </row>
    <row r="2257" spans="1:6">
      <c r="A2257"/>
      <c r="B2257"/>
      <c r="C2257"/>
      <c r="D2257"/>
      <c r="E2257"/>
      <c r="F2257"/>
    </row>
    <row r="2258" spans="1:6">
      <c r="A2258"/>
      <c r="B2258"/>
      <c r="C2258"/>
      <c r="D2258"/>
      <c r="E2258"/>
      <c r="F2258"/>
    </row>
    <row r="2259" spans="1:6">
      <c r="A2259"/>
      <c r="B2259"/>
      <c r="C2259"/>
      <c r="D2259"/>
      <c r="E2259"/>
      <c r="F2259"/>
    </row>
    <row r="2260" spans="1:6">
      <c r="A2260"/>
      <c r="B2260"/>
      <c r="C2260"/>
      <c r="D2260"/>
      <c r="E2260"/>
      <c r="F2260"/>
    </row>
    <row r="2261" spans="1:6">
      <c r="A2261"/>
      <c r="B2261"/>
      <c r="C2261"/>
      <c r="D2261"/>
      <c r="E2261"/>
      <c r="F2261"/>
    </row>
    <row r="2262" spans="1:6">
      <c r="A2262"/>
      <c r="B2262"/>
      <c r="C2262"/>
      <c r="D2262"/>
      <c r="E2262"/>
      <c r="F2262"/>
    </row>
    <row r="2263" spans="1:6">
      <c r="A2263"/>
      <c r="B2263"/>
      <c r="C2263"/>
      <c r="D2263"/>
      <c r="E2263"/>
      <c r="F2263"/>
    </row>
    <row r="2264" spans="1:6">
      <c r="A2264"/>
      <c r="B2264"/>
      <c r="C2264"/>
      <c r="D2264"/>
      <c r="E2264"/>
      <c r="F2264"/>
    </row>
    <row r="2265" spans="1:6">
      <c r="A2265"/>
      <c r="B2265"/>
      <c r="C2265"/>
      <c r="D2265"/>
      <c r="E2265"/>
      <c r="F2265"/>
    </row>
    <row r="2266" spans="1:6">
      <c r="A2266"/>
      <c r="B2266"/>
      <c r="C2266"/>
      <c r="D2266"/>
      <c r="E2266"/>
      <c r="F2266"/>
    </row>
    <row r="2267" spans="1:6">
      <c r="A2267"/>
      <c r="B2267"/>
      <c r="C2267"/>
      <c r="D2267"/>
      <c r="E2267"/>
      <c r="F2267"/>
    </row>
    <row r="2268" spans="1:6">
      <c r="A2268"/>
      <c r="B2268"/>
      <c r="C2268"/>
      <c r="D2268"/>
      <c r="E2268"/>
      <c r="F2268"/>
    </row>
    <row r="2269" spans="1:6">
      <c r="A2269"/>
      <c r="B2269"/>
      <c r="C2269"/>
      <c r="D2269"/>
      <c r="E2269"/>
      <c r="F2269"/>
    </row>
    <row r="2270" spans="1:6">
      <c r="A2270"/>
      <c r="B2270"/>
      <c r="C2270"/>
      <c r="D2270"/>
      <c r="E2270"/>
      <c r="F2270"/>
    </row>
    <row r="2271" spans="1:6">
      <c r="A2271"/>
      <c r="B2271"/>
      <c r="C2271"/>
      <c r="D2271"/>
      <c r="E2271"/>
      <c r="F2271"/>
    </row>
    <row r="2272" spans="1:6">
      <c r="A2272"/>
      <c r="B2272"/>
      <c r="C2272"/>
      <c r="D2272"/>
      <c r="E2272"/>
      <c r="F2272"/>
    </row>
    <row r="2273" spans="1:6">
      <c r="A2273"/>
      <c r="B2273"/>
      <c r="C2273"/>
      <c r="D2273"/>
      <c r="E2273"/>
      <c r="F2273"/>
    </row>
    <row r="2274" spans="1:6">
      <c r="A2274"/>
      <c r="B2274"/>
      <c r="C2274"/>
      <c r="D2274"/>
      <c r="E2274"/>
      <c r="F2274"/>
    </row>
    <row r="2275" spans="1:6">
      <c r="A2275"/>
      <c r="B2275"/>
      <c r="C2275"/>
      <c r="D2275"/>
      <c r="E2275"/>
      <c r="F2275"/>
    </row>
    <row r="2276" spans="1:6">
      <c r="A2276"/>
      <c r="B2276"/>
      <c r="C2276"/>
      <c r="D2276"/>
      <c r="E2276"/>
      <c r="F2276"/>
    </row>
    <row r="2277" spans="1:6">
      <c r="A2277"/>
      <c r="B2277"/>
      <c r="C2277"/>
      <c r="D2277"/>
      <c r="E2277"/>
      <c r="F2277"/>
    </row>
    <row r="2278" spans="1:6">
      <c r="A2278"/>
      <c r="B2278"/>
      <c r="C2278"/>
      <c r="D2278"/>
      <c r="E2278"/>
      <c r="F2278"/>
    </row>
    <row r="2279" spans="1:6">
      <c r="A2279"/>
      <c r="B2279"/>
      <c r="C2279"/>
      <c r="D2279"/>
      <c r="E2279"/>
      <c r="F2279"/>
    </row>
    <row r="2280" spans="1:6">
      <c r="A2280"/>
      <c r="B2280"/>
      <c r="C2280"/>
      <c r="D2280"/>
      <c r="E2280"/>
      <c r="F2280"/>
    </row>
    <row r="2281" spans="1:6">
      <c r="A2281"/>
      <c r="B2281"/>
      <c r="C2281"/>
      <c r="D2281"/>
      <c r="E2281"/>
      <c r="F2281"/>
    </row>
    <row r="2282" spans="1:6">
      <c r="A2282"/>
      <c r="B2282"/>
      <c r="C2282"/>
      <c r="D2282"/>
      <c r="E2282"/>
      <c r="F2282"/>
    </row>
    <row r="2283" spans="1:6">
      <c r="A2283"/>
      <c r="B2283"/>
      <c r="C2283"/>
      <c r="D2283"/>
      <c r="E2283"/>
      <c r="F2283"/>
    </row>
    <row r="2284" spans="1:6">
      <c r="A2284"/>
      <c r="B2284"/>
      <c r="C2284"/>
      <c r="D2284"/>
      <c r="E2284"/>
      <c r="F2284"/>
    </row>
    <row r="2285" spans="1:6">
      <c r="A2285"/>
      <c r="B2285"/>
      <c r="C2285"/>
      <c r="D2285"/>
      <c r="E2285"/>
      <c r="F2285"/>
    </row>
    <row r="2286" spans="1:6">
      <c r="A2286"/>
      <c r="B2286"/>
      <c r="C2286"/>
      <c r="D2286"/>
      <c r="E2286"/>
      <c r="F2286"/>
    </row>
    <row r="2287" spans="1:6">
      <c r="A2287"/>
      <c r="B2287"/>
      <c r="C2287"/>
      <c r="D2287"/>
      <c r="E2287"/>
      <c r="F2287"/>
    </row>
    <row r="2288" spans="1:6">
      <c r="A2288"/>
      <c r="B2288"/>
      <c r="C2288"/>
      <c r="D2288"/>
      <c r="E2288"/>
      <c r="F2288"/>
    </row>
    <row r="2289" spans="1:6">
      <c r="A2289"/>
      <c r="B2289"/>
      <c r="C2289"/>
      <c r="D2289"/>
      <c r="E2289"/>
      <c r="F2289"/>
    </row>
    <row r="2290" spans="1:6">
      <c r="A2290"/>
      <c r="B2290"/>
      <c r="C2290"/>
      <c r="D2290"/>
      <c r="E2290"/>
      <c r="F2290"/>
    </row>
    <row r="2291" spans="1:6">
      <c r="A2291"/>
      <c r="B2291"/>
      <c r="C2291"/>
      <c r="D2291"/>
      <c r="E2291"/>
      <c r="F2291"/>
    </row>
    <row r="2292" spans="1:6">
      <c r="A2292"/>
      <c r="B2292"/>
      <c r="C2292"/>
      <c r="D2292"/>
      <c r="E2292"/>
      <c r="F2292"/>
    </row>
    <row r="2293" spans="1:6">
      <c r="A2293"/>
      <c r="B2293"/>
      <c r="C2293"/>
      <c r="D2293"/>
      <c r="E2293"/>
      <c r="F2293"/>
    </row>
    <row r="2294" spans="1:6">
      <c r="A2294"/>
      <c r="B2294"/>
      <c r="C2294"/>
      <c r="D2294"/>
      <c r="E2294"/>
      <c r="F2294"/>
    </row>
    <row r="2295" spans="1:6">
      <c r="A2295"/>
      <c r="B2295"/>
      <c r="C2295"/>
      <c r="D2295"/>
      <c r="E2295"/>
      <c r="F2295"/>
    </row>
    <row r="2296" spans="1:6">
      <c r="A2296"/>
      <c r="B2296"/>
      <c r="C2296"/>
      <c r="D2296"/>
      <c r="E2296"/>
      <c r="F2296"/>
    </row>
    <row r="2297" spans="1:6">
      <c r="A2297"/>
      <c r="B2297"/>
      <c r="C2297"/>
      <c r="D2297"/>
      <c r="E2297"/>
      <c r="F2297"/>
    </row>
    <row r="2298" spans="1:6">
      <c r="A2298"/>
      <c r="B2298"/>
      <c r="C2298"/>
      <c r="D2298"/>
      <c r="E2298"/>
      <c r="F2298"/>
    </row>
    <row r="2299" spans="1:6">
      <c r="A2299"/>
      <c r="B2299"/>
      <c r="C2299"/>
      <c r="D2299"/>
      <c r="E2299"/>
      <c r="F2299"/>
    </row>
    <row r="2300" spans="1:6">
      <c r="A2300"/>
      <c r="B2300"/>
      <c r="C2300"/>
      <c r="D2300"/>
      <c r="E2300"/>
      <c r="F2300"/>
    </row>
    <row r="2301" spans="1:6">
      <c r="A2301"/>
      <c r="B2301"/>
      <c r="C2301"/>
      <c r="D2301"/>
      <c r="E2301"/>
      <c r="F2301"/>
    </row>
    <row r="2302" spans="1:6">
      <c r="A2302"/>
      <c r="B2302"/>
      <c r="C2302"/>
      <c r="D2302"/>
      <c r="E2302"/>
      <c r="F2302"/>
    </row>
    <row r="2303" spans="1:6">
      <c r="A2303"/>
      <c r="B2303"/>
      <c r="C2303"/>
      <c r="D2303"/>
      <c r="E2303"/>
      <c r="F2303"/>
    </row>
    <row r="2304" spans="1:6">
      <c r="A2304"/>
      <c r="B2304"/>
      <c r="C2304"/>
      <c r="D2304"/>
      <c r="E2304"/>
      <c r="F2304"/>
    </row>
    <row r="2305" spans="1:6">
      <c r="A2305"/>
      <c r="B2305"/>
      <c r="C2305"/>
      <c r="D2305"/>
      <c r="E2305"/>
      <c r="F2305"/>
    </row>
    <row r="2306" spans="1:6">
      <c r="A2306"/>
      <c r="B2306"/>
      <c r="C2306"/>
      <c r="D2306"/>
      <c r="E2306"/>
      <c r="F2306"/>
    </row>
    <row r="2307" spans="1:6">
      <c r="A2307"/>
      <c r="B2307"/>
      <c r="C2307"/>
      <c r="D2307"/>
      <c r="E2307"/>
      <c r="F2307"/>
    </row>
    <row r="2308" spans="1:6">
      <c r="A2308"/>
      <c r="B2308"/>
      <c r="C2308"/>
      <c r="D2308"/>
      <c r="E2308"/>
      <c r="F2308"/>
    </row>
    <row r="2309" spans="1:6">
      <c r="A2309"/>
      <c r="B2309"/>
      <c r="C2309"/>
      <c r="D2309"/>
      <c r="E2309"/>
      <c r="F2309"/>
    </row>
    <row r="2310" spans="1:6">
      <c r="A2310"/>
      <c r="B2310"/>
      <c r="C2310"/>
      <c r="D2310"/>
      <c r="E2310"/>
      <c r="F2310"/>
    </row>
    <row r="2311" spans="1:6">
      <c r="A2311"/>
      <c r="B2311"/>
      <c r="C2311"/>
      <c r="D2311"/>
      <c r="E2311"/>
      <c r="F2311"/>
    </row>
    <row r="2312" spans="1:6">
      <c r="A2312"/>
      <c r="B2312"/>
      <c r="C2312"/>
      <c r="D2312"/>
      <c r="E2312"/>
      <c r="F2312"/>
    </row>
    <row r="2313" spans="1:6">
      <c r="A2313"/>
      <c r="B2313"/>
      <c r="C2313"/>
      <c r="D2313"/>
      <c r="E2313"/>
      <c r="F2313"/>
    </row>
    <row r="2314" spans="1:6">
      <c r="A2314"/>
      <c r="B2314"/>
      <c r="C2314"/>
      <c r="D2314"/>
      <c r="E2314"/>
      <c r="F2314"/>
    </row>
    <row r="2315" spans="1:6">
      <c r="A2315"/>
      <c r="B2315"/>
      <c r="C2315"/>
      <c r="D2315"/>
      <c r="E2315"/>
      <c r="F2315"/>
    </row>
    <row r="2316" spans="1:6">
      <c r="A2316"/>
      <c r="B2316"/>
      <c r="C2316"/>
      <c r="D2316"/>
      <c r="E2316"/>
      <c r="F2316"/>
    </row>
    <row r="2317" spans="1:6">
      <c r="A2317"/>
      <c r="B2317"/>
      <c r="C2317"/>
      <c r="D2317"/>
      <c r="E2317"/>
      <c r="F2317"/>
    </row>
    <row r="2318" spans="1:6">
      <c r="A2318"/>
      <c r="B2318"/>
      <c r="C2318"/>
      <c r="D2318"/>
      <c r="E2318"/>
      <c r="F2318"/>
    </row>
    <row r="2319" spans="1:6">
      <c r="A2319"/>
      <c r="B2319"/>
      <c r="C2319"/>
      <c r="D2319"/>
      <c r="E2319"/>
      <c r="F2319"/>
    </row>
    <row r="2320" spans="1:6">
      <c r="A2320"/>
      <c r="B2320"/>
      <c r="C2320"/>
      <c r="D2320"/>
      <c r="E2320"/>
      <c r="F2320"/>
    </row>
    <row r="2321" spans="1:6">
      <c r="A2321"/>
      <c r="B2321"/>
      <c r="C2321"/>
      <c r="D2321"/>
      <c r="E2321"/>
      <c r="F2321"/>
    </row>
    <row r="2322" spans="1:6">
      <c r="A2322"/>
      <c r="B2322"/>
      <c r="C2322"/>
      <c r="D2322"/>
      <c r="E2322"/>
      <c r="F2322"/>
    </row>
    <row r="2323" spans="1:6">
      <c r="A2323"/>
      <c r="B2323"/>
      <c r="C2323"/>
      <c r="D2323"/>
      <c r="E2323"/>
      <c r="F2323"/>
    </row>
    <row r="2324" spans="1:6">
      <c r="A2324"/>
      <c r="B2324"/>
      <c r="C2324"/>
      <c r="D2324"/>
      <c r="E2324"/>
      <c r="F2324"/>
    </row>
    <row r="2325" spans="1:6">
      <c r="A2325"/>
      <c r="B2325"/>
      <c r="C2325"/>
      <c r="D2325"/>
      <c r="E2325"/>
      <c r="F2325"/>
    </row>
    <row r="2326" spans="1:6">
      <c r="A2326"/>
      <c r="B2326"/>
      <c r="C2326"/>
      <c r="D2326"/>
      <c r="E2326"/>
      <c r="F2326"/>
    </row>
    <row r="2327" spans="1:6">
      <c r="A2327"/>
      <c r="B2327"/>
      <c r="C2327"/>
      <c r="D2327"/>
      <c r="E2327"/>
      <c r="F2327"/>
    </row>
    <row r="2328" spans="1:6">
      <c r="A2328"/>
      <c r="B2328"/>
      <c r="C2328"/>
      <c r="D2328"/>
      <c r="E2328"/>
      <c r="F2328"/>
    </row>
    <row r="2329" spans="1:6">
      <c r="A2329"/>
      <c r="B2329"/>
      <c r="C2329"/>
      <c r="D2329"/>
      <c r="E2329"/>
      <c r="F2329"/>
    </row>
    <row r="2330" spans="1:6">
      <c r="A2330"/>
      <c r="B2330"/>
      <c r="C2330"/>
      <c r="D2330"/>
      <c r="E2330"/>
      <c r="F2330"/>
    </row>
    <row r="2331" spans="1:6">
      <c r="A2331"/>
      <c r="B2331"/>
      <c r="C2331"/>
      <c r="D2331"/>
      <c r="E2331"/>
      <c r="F2331"/>
    </row>
    <row r="2332" spans="1:6">
      <c r="A2332"/>
      <c r="B2332"/>
      <c r="C2332"/>
      <c r="D2332"/>
      <c r="E2332"/>
      <c r="F2332"/>
    </row>
    <row r="2333" spans="1:6">
      <c r="A2333"/>
      <c r="B2333"/>
      <c r="C2333"/>
      <c r="D2333"/>
      <c r="E2333"/>
      <c r="F2333"/>
    </row>
    <row r="2334" spans="1:6">
      <c r="A2334"/>
      <c r="B2334"/>
      <c r="C2334"/>
      <c r="D2334"/>
      <c r="E2334"/>
      <c r="F2334"/>
    </row>
    <row r="2335" spans="1:6">
      <c r="A2335"/>
      <c r="B2335"/>
      <c r="C2335"/>
      <c r="D2335"/>
      <c r="E2335"/>
      <c r="F2335"/>
    </row>
    <row r="2336" spans="1:6">
      <c r="A2336"/>
      <c r="B2336"/>
      <c r="C2336"/>
      <c r="D2336"/>
      <c r="E2336"/>
      <c r="F2336"/>
    </row>
    <row r="2337" spans="1:6">
      <c r="A2337"/>
      <c r="B2337"/>
      <c r="C2337"/>
      <c r="D2337"/>
      <c r="E2337"/>
      <c r="F2337"/>
    </row>
    <row r="2338" spans="1:6">
      <c r="A2338"/>
      <c r="B2338"/>
      <c r="C2338"/>
      <c r="D2338"/>
      <c r="E2338"/>
      <c r="F2338"/>
    </row>
    <row r="2339" spans="1:6">
      <c r="A2339"/>
      <c r="B2339"/>
      <c r="C2339"/>
      <c r="D2339"/>
      <c r="E2339"/>
      <c r="F2339"/>
    </row>
    <row r="2340" spans="1:6">
      <c r="A2340"/>
      <c r="B2340"/>
      <c r="C2340"/>
      <c r="D2340"/>
      <c r="E2340"/>
      <c r="F2340"/>
    </row>
    <row r="2341" spans="1:6">
      <c r="A2341"/>
      <c r="B2341"/>
      <c r="C2341"/>
      <c r="D2341"/>
      <c r="E2341"/>
      <c r="F2341"/>
    </row>
    <row r="2342" spans="1:6">
      <c r="A2342"/>
      <c r="B2342"/>
      <c r="C2342"/>
      <c r="D2342"/>
      <c r="E2342"/>
      <c r="F2342"/>
    </row>
    <row r="2343" spans="1:6">
      <c r="A2343"/>
      <c r="B2343"/>
      <c r="C2343"/>
      <c r="D2343"/>
      <c r="E2343"/>
      <c r="F2343"/>
    </row>
    <row r="2344" spans="1:6">
      <c r="A2344"/>
      <c r="B2344"/>
      <c r="C2344"/>
      <c r="D2344"/>
      <c r="E2344"/>
      <c r="F2344"/>
    </row>
    <row r="2345" spans="1:6">
      <c r="A2345"/>
      <c r="B2345"/>
      <c r="C2345"/>
      <c r="D2345"/>
      <c r="E2345"/>
      <c r="F2345"/>
    </row>
    <row r="2346" spans="1:6">
      <c r="A2346"/>
      <c r="B2346"/>
      <c r="C2346"/>
      <c r="D2346"/>
      <c r="E2346"/>
      <c r="F2346"/>
    </row>
    <row r="2347" spans="1:6">
      <c r="A2347"/>
      <c r="B2347"/>
      <c r="C2347"/>
      <c r="D2347"/>
      <c r="E2347"/>
      <c r="F2347"/>
    </row>
    <row r="2348" spans="1:6">
      <c r="A2348"/>
      <c r="B2348"/>
      <c r="C2348"/>
      <c r="D2348"/>
      <c r="E2348"/>
      <c r="F2348"/>
    </row>
    <row r="2349" spans="1:6">
      <c r="A2349"/>
      <c r="B2349"/>
      <c r="C2349"/>
      <c r="D2349"/>
      <c r="E2349"/>
      <c r="F2349"/>
    </row>
    <row r="2350" spans="1:6">
      <c r="A2350"/>
      <c r="B2350"/>
      <c r="C2350"/>
      <c r="D2350"/>
      <c r="E2350"/>
      <c r="F2350"/>
    </row>
    <row r="2351" spans="1:6">
      <c r="A2351"/>
      <c r="B2351"/>
      <c r="C2351"/>
      <c r="D2351"/>
      <c r="E2351"/>
      <c r="F2351"/>
    </row>
    <row r="2352" spans="1:6">
      <c r="A2352"/>
      <c r="B2352"/>
      <c r="C2352"/>
      <c r="D2352"/>
      <c r="E2352"/>
      <c r="F2352"/>
    </row>
    <row r="2353" spans="1:6">
      <c r="A2353"/>
      <c r="B2353"/>
      <c r="C2353"/>
      <c r="D2353"/>
      <c r="E2353"/>
      <c r="F2353"/>
    </row>
    <row r="2354" spans="1:6">
      <c r="A2354"/>
      <c r="B2354"/>
      <c r="C2354"/>
      <c r="D2354"/>
      <c r="E2354"/>
      <c r="F2354"/>
    </row>
    <row r="2355" spans="1:6">
      <c r="A2355"/>
      <c r="B2355"/>
      <c r="C2355"/>
      <c r="D2355"/>
      <c r="E2355"/>
      <c r="F2355"/>
    </row>
    <row r="2356" spans="1:6">
      <c r="A2356"/>
      <c r="B2356"/>
      <c r="C2356"/>
      <c r="D2356"/>
      <c r="E2356"/>
      <c r="F2356"/>
    </row>
    <row r="2357" spans="1:6">
      <c r="A2357"/>
      <c r="B2357"/>
      <c r="C2357"/>
      <c r="D2357"/>
      <c r="E2357"/>
      <c r="F2357"/>
    </row>
    <row r="2358" spans="1:6">
      <c r="A2358"/>
      <c r="B2358"/>
      <c r="C2358"/>
      <c r="D2358"/>
      <c r="E2358"/>
      <c r="F2358"/>
    </row>
    <row r="2359" spans="1:6">
      <c r="A2359"/>
      <c r="B2359"/>
      <c r="C2359"/>
      <c r="D2359"/>
      <c r="E2359"/>
      <c r="F2359"/>
    </row>
    <row r="2360" spans="1:6">
      <c r="A2360"/>
      <c r="B2360"/>
      <c r="C2360"/>
      <c r="D2360"/>
      <c r="E2360"/>
      <c r="F2360"/>
    </row>
    <row r="2361" spans="1:6">
      <c r="A2361"/>
      <c r="B2361"/>
      <c r="C2361"/>
      <c r="D2361"/>
      <c r="E2361"/>
      <c r="F2361"/>
    </row>
    <row r="2362" spans="1:6">
      <c r="A2362"/>
      <c r="B2362"/>
      <c r="C2362"/>
      <c r="D2362"/>
      <c r="E2362"/>
      <c r="F2362"/>
    </row>
    <row r="2363" spans="1:6">
      <c r="A2363"/>
      <c r="B2363"/>
      <c r="C2363"/>
      <c r="D2363"/>
      <c r="E2363"/>
      <c r="F2363"/>
    </row>
    <row r="2364" spans="1:6">
      <c r="A2364"/>
      <c r="B2364"/>
      <c r="C2364"/>
      <c r="D2364"/>
      <c r="E2364"/>
      <c r="F2364"/>
    </row>
    <row r="2365" spans="1:6">
      <c r="A2365"/>
      <c r="B2365"/>
      <c r="C2365"/>
      <c r="D2365"/>
      <c r="E2365"/>
      <c r="F2365"/>
    </row>
    <row r="2366" spans="1:6">
      <c r="A2366"/>
      <c r="B2366"/>
      <c r="C2366"/>
      <c r="D2366"/>
      <c r="E2366"/>
      <c r="F2366"/>
    </row>
    <row r="2367" spans="1:6">
      <c r="A2367"/>
      <c r="B2367"/>
      <c r="C2367"/>
      <c r="D2367"/>
      <c r="E2367"/>
      <c r="F2367"/>
    </row>
    <row r="2368" spans="1:6">
      <c r="A2368"/>
      <c r="B2368"/>
      <c r="C2368"/>
      <c r="D2368"/>
      <c r="E2368"/>
      <c r="F2368"/>
    </row>
    <row r="2369" spans="1:6">
      <c r="A2369"/>
      <c r="B2369"/>
      <c r="C2369"/>
      <c r="D2369"/>
      <c r="E2369"/>
      <c r="F2369"/>
    </row>
    <row r="2370" spans="1:6">
      <c r="A2370"/>
      <c r="B2370"/>
      <c r="C2370"/>
      <c r="D2370"/>
      <c r="E2370"/>
      <c r="F2370"/>
    </row>
    <row r="2371" spans="1:6">
      <c r="A2371"/>
      <c r="B2371"/>
      <c r="C2371"/>
      <c r="D2371"/>
      <c r="E2371"/>
      <c r="F2371"/>
    </row>
    <row r="2372" spans="1:6">
      <c r="A2372"/>
      <c r="B2372"/>
      <c r="C2372"/>
      <c r="D2372"/>
      <c r="E2372"/>
      <c r="F2372"/>
    </row>
    <row r="2373" spans="1:6">
      <c r="A2373"/>
      <c r="B2373"/>
      <c r="C2373"/>
      <c r="D2373"/>
      <c r="E2373"/>
      <c r="F2373"/>
    </row>
    <row r="2374" spans="1:6">
      <c r="A2374"/>
      <c r="B2374"/>
      <c r="C2374"/>
      <c r="D2374"/>
      <c r="E2374"/>
      <c r="F2374"/>
    </row>
    <row r="2375" spans="1:6">
      <c r="A2375"/>
      <c r="B2375"/>
      <c r="C2375"/>
      <c r="D2375"/>
      <c r="E2375"/>
      <c r="F2375"/>
    </row>
    <row r="2376" spans="1:6">
      <c r="A2376"/>
      <c r="B2376"/>
      <c r="C2376"/>
      <c r="D2376"/>
      <c r="E2376"/>
      <c r="F2376"/>
    </row>
    <row r="2377" spans="1:6">
      <c r="A2377"/>
      <c r="B2377"/>
      <c r="C2377"/>
      <c r="D2377"/>
      <c r="E2377"/>
      <c r="F2377"/>
    </row>
    <row r="2378" spans="1:6">
      <c r="A2378"/>
      <c r="B2378"/>
      <c r="C2378"/>
      <c r="D2378"/>
      <c r="E2378"/>
      <c r="F2378"/>
    </row>
    <row r="2379" spans="1:6">
      <c r="A2379"/>
      <c r="B2379"/>
      <c r="C2379"/>
      <c r="D2379"/>
      <c r="E2379"/>
      <c r="F2379"/>
    </row>
    <row r="2380" spans="1:6">
      <c r="A2380"/>
      <c r="B2380"/>
      <c r="C2380"/>
      <c r="D2380"/>
      <c r="E2380"/>
      <c r="F2380"/>
    </row>
    <row r="2381" spans="1:6">
      <c r="A2381"/>
      <c r="B2381"/>
      <c r="C2381"/>
      <c r="D2381"/>
      <c r="E2381"/>
      <c r="F2381"/>
    </row>
    <row r="2382" spans="1:6">
      <c r="A2382"/>
      <c r="B2382"/>
      <c r="C2382"/>
      <c r="D2382"/>
      <c r="E2382"/>
      <c r="F2382"/>
    </row>
    <row r="2383" spans="1:6">
      <c r="A2383"/>
      <c r="B2383"/>
      <c r="C2383"/>
      <c r="D2383"/>
      <c r="E2383"/>
      <c r="F2383"/>
    </row>
    <row r="2384" spans="1:6">
      <c r="A2384"/>
      <c r="B2384"/>
      <c r="C2384"/>
      <c r="D2384"/>
      <c r="E2384"/>
      <c r="F2384"/>
    </row>
    <row r="2385" spans="1:6">
      <c r="A2385"/>
      <c r="B2385"/>
      <c r="C2385"/>
      <c r="D2385"/>
      <c r="E2385"/>
      <c r="F2385"/>
    </row>
    <row r="2386" spans="1:6">
      <c r="A2386"/>
      <c r="B2386"/>
      <c r="C2386"/>
      <c r="D2386"/>
      <c r="E2386"/>
      <c r="F2386"/>
    </row>
    <row r="2387" spans="1:6">
      <c r="A2387"/>
      <c r="B2387"/>
      <c r="C2387"/>
      <c r="D2387"/>
      <c r="E2387"/>
      <c r="F2387"/>
    </row>
    <row r="2388" spans="1:6">
      <c r="A2388"/>
      <c r="B2388"/>
      <c r="C2388"/>
      <c r="D2388"/>
      <c r="E2388"/>
      <c r="F2388"/>
    </row>
    <row r="2389" spans="1:6">
      <c r="A2389"/>
      <c r="B2389"/>
      <c r="C2389"/>
      <c r="D2389"/>
      <c r="E2389"/>
      <c r="F2389"/>
    </row>
    <row r="2390" spans="1:6">
      <c r="A2390"/>
      <c r="B2390"/>
      <c r="C2390"/>
      <c r="D2390"/>
      <c r="E2390"/>
      <c r="F2390"/>
    </row>
    <row r="2391" spans="1:6">
      <c r="A2391"/>
      <c r="B2391"/>
      <c r="C2391"/>
      <c r="D2391"/>
      <c r="E2391"/>
      <c r="F2391"/>
    </row>
    <row r="2392" spans="1:6">
      <c r="A2392"/>
      <c r="B2392"/>
      <c r="C2392"/>
      <c r="D2392"/>
      <c r="E2392"/>
      <c r="F2392"/>
    </row>
    <row r="2393" spans="1:6">
      <c r="A2393"/>
      <c r="B2393"/>
      <c r="C2393"/>
      <c r="D2393"/>
      <c r="E2393"/>
      <c r="F2393"/>
    </row>
    <row r="2394" spans="1:6">
      <c r="A2394"/>
      <c r="B2394"/>
      <c r="C2394"/>
      <c r="D2394"/>
      <c r="E2394"/>
      <c r="F2394"/>
    </row>
    <row r="2395" spans="1:6">
      <c r="A2395"/>
      <c r="B2395"/>
      <c r="C2395"/>
      <c r="D2395"/>
      <c r="E2395"/>
      <c r="F2395"/>
    </row>
    <row r="2396" spans="1:6">
      <c r="A2396"/>
      <c r="B2396"/>
      <c r="C2396"/>
      <c r="D2396"/>
      <c r="E2396"/>
      <c r="F2396"/>
    </row>
    <row r="2397" spans="1:6">
      <c r="A2397"/>
      <c r="B2397"/>
      <c r="C2397"/>
      <c r="D2397"/>
      <c r="E2397"/>
      <c r="F2397"/>
    </row>
    <row r="2398" spans="1:6">
      <c r="A2398"/>
      <c r="B2398"/>
      <c r="C2398"/>
      <c r="D2398"/>
      <c r="E2398"/>
      <c r="F2398"/>
    </row>
    <row r="2399" spans="1:6">
      <c r="A2399"/>
      <c r="B2399"/>
      <c r="C2399"/>
      <c r="D2399"/>
      <c r="E2399"/>
      <c r="F2399"/>
    </row>
    <row r="2400" spans="1:6">
      <c r="A2400"/>
      <c r="B2400"/>
      <c r="C2400"/>
      <c r="D2400"/>
      <c r="E2400"/>
      <c r="F2400"/>
    </row>
    <row r="2401" spans="1:6">
      <c r="A2401"/>
      <c r="B2401"/>
      <c r="C2401"/>
      <c r="D2401"/>
      <c r="E2401"/>
      <c r="F2401"/>
    </row>
    <row r="2402" spans="1:6">
      <c r="A2402"/>
      <c r="B2402"/>
      <c r="C2402"/>
      <c r="D2402"/>
      <c r="E2402"/>
      <c r="F2402"/>
    </row>
    <row r="2403" spans="1:6">
      <c r="A2403"/>
      <c r="B2403"/>
      <c r="C2403"/>
      <c r="D2403"/>
      <c r="E2403"/>
      <c r="F2403"/>
    </row>
    <row r="2404" spans="1:6">
      <c r="A2404"/>
      <c r="B2404"/>
      <c r="C2404"/>
      <c r="D2404"/>
      <c r="E2404"/>
      <c r="F2404"/>
    </row>
    <row r="2405" spans="1:6">
      <c r="A2405"/>
      <c r="B2405"/>
      <c r="C2405"/>
      <c r="D2405"/>
      <c r="E2405"/>
      <c r="F2405"/>
    </row>
    <row r="2406" spans="1:6">
      <c r="A2406"/>
      <c r="B2406"/>
      <c r="C2406"/>
      <c r="D2406"/>
      <c r="E2406"/>
      <c r="F2406"/>
    </row>
    <row r="2407" spans="1:6">
      <c r="A2407"/>
      <c r="B2407"/>
      <c r="C2407"/>
      <c r="D2407"/>
      <c r="E2407"/>
      <c r="F2407"/>
    </row>
    <row r="2408" spans="1:6">
      <c r="A2408"/>
      <c r="B2408"/>
      <c r="C2408"/>
      <c r="D2408"/>
      <c r="E2408"/>
      <c r="F2408"/>
    </row>
    <row r="2409" spans="1:6">
      <c r="A2409"/>
      <c r="B2409"/>
      <c r="C2409"/>
      <c r="D2409"/>
      <c r="E2409"/>
      <c r="F2409"/>
    </row>
    <row r="2410" spans="1:6">
      <c r="A2410"/>
      <c r="B2410"/>
      <c r="C2410"/>
      <c r="D2410"/>
      <c r="E2410"/>
      <c r="F2410"/>
    </row>
    <row r="2411" spans="1:6">
      <c r="A2411"/>
      <c r="B2411"/>
      <c r="C2411"/>
      <c r="D2411"/>
      <c r="E2411"/>
      <c r="F2411"/>
    </row>
    <row r="2412" spans="1:6">
      <c r="A2412"/>
      <c r="B2412"/>
      <c r="C2412"/>
      <c r="D2412"/>
      <c r="E2412"/>
      <c r="F2412"/>
    </row>
    <row r="2413" spans="1:6">
      <c r="A2413"/>
      <c r="B2413"/>
      <c r="C2413"/>
      <c r="D2413"/>
      <c r="E2413"/>
      <c r="F2413"/>
    </row>
    <row r="2414" spans="1:6">
      <c r="A2414"/>
      <c r="B2414"/>
      <c r="C2414"/>
      <c r="D2414"/>
      <c r="E2414"/>
      <c r="F2414"/>
    </row>
    <row r="2415" spans="1:6">
      <c r="A2415"/>
      <c r="B2415"/>
      <c r="C2415"/>
      <c r="D2415"/>
      <c r="E2415"/>
      <c r="F2415"/>
    </row>
    <row r="2416" spans="1:6">
      <c r="A2416"/>
      <c r="B2416"/>
      <c r="C2416"/>
      <c r="D2416"/>
      <c r="E2416"/>
      <c r="F2416"/>
    </row>
    <row r="2417" spans="1:6">
      <c r="A2417"/>
      <c r="B2417"/>
      <c r="C2417"/>
      <c r="D2417"/>
      <c r="E2417"/>
      <c r="F2417"/>
    </row>
    <row r="2418" spans="1:6">
      <c r="A2418"/>
      <c r="B2418"/>
      <c r="C2418"/>
      <c r="D2418"/>
      <c r="E2418"/>
      <c r="F2418"/>
    </row>
    <row r="2419" spans="1:6">
      <c r="A2419"/>
      <c r="B2419"/>
      <c r="C2419"/>
      <c r="D2419"/>
      <c r="E2419"/>
      <c r="F2419"/>
    </row>
    <row r="2420" spans="1:6">
      <c r="A2420"/>
      <c r="B2420"/>
      <c r="C2420"/>
      <c r="D2420"/>
      <c r="E2420"/>
      <c r="F2420"/>
    </row>
    <row r="2421" spans="1:6">
      <c r="A2421"/>
      <c r="B2421"/>
      <c r="C2421"/>
      <c r="D2421"/>
      <c r="E2421"/>
      <c r="F2421"/>
    </row>
    <row r="2422" spans="1:6">
      <c r="A2422"/>
      <c r="B2422"/>
      <c r="C2422"/>
      <c r="D2422"/>
      <c r="E2422"/>
      <c r="F2422"/>
    </row>
    <row r="2423" spans="1:6">
      <c r="A2423"/>
      <c r="B2423"/>
      <c r="C2423"/>
      <c r="D2423"/>
      <c r="E2423"/>
      <c r="F2423"/>
    </row>
    <row r="2424" spans="1:6">
      <c r="A2424"/>
      <c r="B2424"/>
      <c r="C2424"/>
      <c r="D2424"/>
      <c r="E2424"/>
      <c r="F2424"/>
    </row>
    <row r="2425" spans="1:6">
      <c r="A2425"/>
      <c r="B2425"/>
      <c r="C2425"/>
      <c r="D2425"/>
      <c r="E2425"/>
      <c r="F2425"/>
    </row>
    <row r="2426" spans="1:6">
      <c r="A2426"/>
      <c r="B2426"/>
      <c r="C2426"/>
      <c r="D2426"/>
      <c r="E2426"/>
      <c r="F2426"/>
    </row>
    <row r="2427" spans="1:6">
      <c r="A2427"/>
      <c r="B2427"/>
      <c r="C2427"/>
      <c r="D2427"/>
      <c r="E2427"/>
      <c r="F2427"/>
    </row>
    <row r="2428" spans="1:6">
      <c r="A2428"/>
      <c r="B2428"/>
      <c r="C2428"/>
      <c r="D2428"/>
      <c r="E2428"/>
      <c r="F2428"/>
    </row>
    <row r="2429" spans="1:6">
      <c r="A2429"/>
      <c r="B2429"/>
      <c r="C2429"/>
      <c r="D2429"/>
      <c r="E2429"/>
      <c r="F2429"/>
    </row>
    <row r="2430" spans="1:6">
      <c r="A2430"/>
      <c r="B2430"/>
      <c r="C2430"/>
      <c r="D2430"/>
      <c r="E2430"/>
      <c r="F2430"/>
    </row>
    <row r="2431" spans="1:6">
      <c r="A2431"/>
      <c r="B2431"/>
      <c r="C2431"/>
      <c r="D2431"/>
      <c r="E2431"/>
      <c r="F2431"/>
    </row>
    <row r="2432" spans="1:6">
      <c r="A2432"/>
      <c r="B2432"/>
      <c r="C2432"/>
      <c r="D2432"/>
      <c r="E2432"/>
      <c r="F2432"/>
    </row>
    <row r="2433" spans="1:6">
      <c r="A2433"/>
      <c r="B2433"/>
      <c r="C2433"/>
      <c r="D2433"/>
      <c r="E2433"/>
      <c r="F2433"/>
    </row>
    <row r="2434" spans="1:6">
      <c r="A2434"/>
      <c r="B2434"/>
      <c r="C2434"/>
      <c r="D2434"/>
      <c r="E2434"/>
      <c r="F2434"/>
    </row>
    <row r="2435" spans="1:6">
      <c r="A2435"/>
      <c r="B2435"/>
      <c r="C2435"/>
      <c r="D2435"/>
      <c r="E2435"/>
      <c r="F2435"/>
    </row>
    <row r="2436" spans="1:6">
      <c r="A2436"/>
      <c r="B2436"/>
      <c r="C2436"/>
      <c r="D2436"/>
      <c r="E2436"/>
      <c r="F2436"/>
    </row>
    <row r="2437" spans="1:6">
      <c r="A2437"/>
      <c r="B2437"/>
      <c r="C2437"/>
      <c r="D2437"/>
      <c r="E2437"/>
      <c r="F2437"/>
    </row>
    <row r="2438" spans="1:6">
      <c r="A2438"/>
      <c r="B2438"/>
      <c r="C2438"/>
      <c r="D2438"/>
      <c r="E2438"/>
      <c r="F2438"/>
    </row>
    <row r="2439" spans="1:6">
      <c r="A2439"/>
      <c r="B2439"/>
      <c r="C2439"/>
      <c r="D2439"/>
      <c r="E2439"/>
      <c r="F2439"/>
    </row>
    <row r="2440" spans="1:6">
      <c r="A2440"/>
      <c r="B2440"/>
      <c r="C2440"/>
      <c r="D2440"/>
      <c r="E2440"/>
      <c r="F2440"/>
    </row>
    <row r="2441" spans="1:6">
      <c r="A2441"/>
      <c r="B2441"/>
      <c r="C2441"/>
      <c r="D2441"/>
      <c r="E2441"/>
      <c r="F2441"/>
    </row>
    <row r="2442" spans="1:6">
      <c r="A2442"/>
      <c r="B2442"/>
      <c r="C2442"/>
      <c r="D2442"/>
      <c r="E2442"/>
      <c r="F2442"/>
    </row>
    <row r="2443" spans="1:6">
      <c r="A2443"/>
      <c r="B2443"/>
      <c r="C2443"/>
      <c r="D2443"/>
      <c r="E2443"/>
      <c r="F2443"/>
    </row>
    <row r="2444" spans="1:6">
      <c r="A2444"/>
      <c r="B2444"/>
      <c r="C2444"/>
      <c r="D2444"/>
      <c r="E2444"/>
      <c r="F2444"/>
    </row>
    <row r="2445" spans="1:6">
      <c r="A2445"/>
      <c r="B2445"/>
      <c r="C2445"/>
      <c r="D2445"/>
      <c r="E2445"/>
      <c r="F2445"/>
    </row>
    <row r="2446" spans="1:6">
      <c r="A2446"/>
      <c r="B2446"/>
      <c r="C2446"/>
      <c r="D2446"/>
      <c r="E2446"/>
      <c r="F2446"/>
    </row>
    <row r="2447" spans="1:6">
      <c r="A2447"/>
      <c r="B2447"/>
      <c r="C2447"/>
      <c r="D2447"/>
      <c r="E2447"/>
      <c r="F2447"/>
    </row>
    <row r="2448" spans="1:6">
      <c r="A2448"/>
      <c r="B2448"/>
      <c r="C2448"/>
      <c r="D2448"/>
      <c r="E2448"/>
      <c r="F2448"/>
    </row>
    <row r="2449" spans="1:6">
      <c r="A2449"/>
      <c r="B2449"/>
      <c r="C2449"/>
      <c r="D2449"/>
      <c r="E2449"/>
      <c r="F2449"/>
    </row>
    <row r="2450" spans="1:6">
      <c r="A2450"/>
      <c r="B2450"/>
      <c r="C2450"/>
      <c r="D2450"/>
      <c r="E2450"/>
      <c r="F2450"/>
    </row>
    <row r="2451" spans="1:6">
      <c r="A2451"/>
      <c r="B2451"/>
      <c r="C2451"/>
      <c r="D2451"/>
      <c r="E2451"/>
      <c r="F2451"/>
    </row>
    <row r="2452" spans="1:6">
      <c r="A2452"/>
      <c r="B2452"/>
      <c r="C2452"/>
      <c r="D2452"/>
      <c r="E2452"/>
      <c r="F2452"/>
    </row>
    <row r="2453" spans="1:6">
      <c r="A2453"/>
      <c r="B2453"/>
      <c r="C2453"/>
      <c r="D2453"/>
      <c r="E2453"/>
      <c r="F2453"/>
    </row>
    <row r="2454" spans="1:6">
      <c r="A2454"/>
      <c r="B2454"/>
      <c r="C2454"/>
      <c r="D2454"/>
      <c r="E2454"/>
      <c r="F2454"/>
    </row>
    <row r="2455" spans="1:6">
      <c r="A2455"/>
      <c r="B2455"/>
      <c r="C2455"/>
      <c r="D2455"/>
      <c r="E2455"/>
      <c r="F2455"/>
    </row>
    <row r="2456" spans="1:6">
      <c r="A2456"/>
      <c r="B2456"/>
      <c r="C2456"/>
      <c r="D2456"/>
      <c r="E2456"/>
      <c r="F2456"/>
    </row>
    <row r="2457" spans="1:6">
      <c r="A2457"/>
      <c r="B2457"/>
      <c r="C2457"/>
      <c r="D2457"/>
      <c r="E2457"/>
      <c r="F2457"/>
    </row>
    <row r="2458" spans="1:6">
      <c r="A2458"/>
      <c r="B2458"/>
      <c r="C2458"/>
      <c r="D2458"/>
      <c r="E2458"/>
      <c r="F2458"/>
    </row>
    <row r="2459" spans="1:6">
      <c r="A2459"/>
      <c r="B2459"/>
      <c r="C2459"/>
      <c r="D2459"/>
      <c r="E2459"/>
      <c r="F2459"/>
    </row>
    <row r="2460" spans="1:6">
      <c r="A2460"/>
      <c r="B2460"/>
      <c r="C2460"/>
      <c r="D2460"/>
      <c r="E2460"/>
      <c r="F2460"/>
    </row>
    <row r="2461" spans="1:6">
      <c r="A2461"/>
      <c r="B2461"/>
      <c r="C2461"/>
      <c r="D2461"/>
      <c r="E2461"/>
      <c r="F2461"/>
    </row>
    <row r="2462" spans="1:6">
      <c r="A2462"/>
      <c r="B2462"/>
      <c r="C2462"/>
      <c r="D2462"/>
      <c r="E2462"/>
      <c r="F2462"/>
    </row>
    <row r="2463" spans="1:6">
      <c r="A2463"/>
      <c r="B2463"/>
      <c r="C2463"/>
      <c r="D2463"/>
      <c r="E2463"/>
      <c r="F2463"/>
    </row>
    <row r="2464" spans="1:6">
      <c r="A2464"/>
      <c r="B2464"/>
      <c r="C2464"/>
      <c r="D2464"/>
      <c r="E2464"/>
      <c r="F2464"/>
    </row>
    <row r="2465" spans="1:6">
      <c r="A2465"/>
      <c r="B2465"/>
      <c r="C2465"/>
      <c r="D2465"/>
      <c r="E2465"/>
      <c r="F2465"/>
    </row>
    <row r="2466" spans="1:6">
      <c r="A2466"/>
      <c r="B2466"/>
      <c r="C2466"/>
      <c r="D2466"/>
      <c r="E2466"/>
      <c r="F2466"/>
    </row>
    <row r="2467" spans="1:6">
      <c r="A2467"/>
      <c r="B2467"/>
      <c r="C2467"/>
      <c r="D2467"/>
      <c r="E2467"/>
      <c r="F2467"/>
    </row>
    <row r="2468" spans="1:6">
      <c r="A2468"/>
      <c r="B2468"/>
      <c r="C2468"/>
      <c r="D2468"/>
      <c r="E2468"/>
      <c r="F2468"/>
    </row>
    <row r="2469" spans="1:6">
      <c r="A2469"/>
      <c r="B2469"/>
      <c r="C2469"/>
      <c r="D2469"/>
      <c r="E2469"/>
      <c r="F2469"/>
    </row>
    <row r="2470" spans="1:6">
      <c r="A2470"/>
      <c r="B2470"/>
      <c r="C2470"/>
      <c r="D2470"/>
      <c r="E2470"/>
      <c r="F2470"/>
    </row>
    <row r="2471" spans="1:6">
      <c r="A2471"/>
      <c r="B2471"/>
      <c r="C2471"/>
      <c r="D2471"/>
      <c r="E2471"/>
      <c r="F2471"/>
    </row>
    <row r="2472" spans="1:6">
      <c r="A2472"/>
      <c r="B2472"/>
      <c r="C2472"/>
      <c r="D2472"/>
      <c r="E2472"/>
      <c r="F2472"/>
    </row>
    <row r="2473" spans="1:6">
      <c r="A2473"/>
      <c r="B2473"/>
      <c r="C2473"/>
      <c r="D2473"/>
      <c r="E2473"/>
      <c r="F2473"/>
    </row>
    <row r="2474" spans="1:6">
      <c r="A2474"/>
      <c r="B2474"/>
      <c r="C2474"/>
      <c r="D2474"/>
      <c r="E2474"/>
      <c r="F2474"/>
    </row>
    <row r="2475" spans="1:6">
      <c r="A2475"/>
      <c r="B2475"/>
      <c r="C2475"/>
      <c r="D2475"/>
      <c r="E2475"/>
      <c r="F2475"/>
    </row>
    <row r="2476" spans="1:6">
      <c r="A2476"/>
      <c r="B2476"/>
      <c r="C2476"/>
      <c r="D2476"/>
      <c r="E2476"/>
      <c r="F2476"/>
    </row>
    <row r="2477" spans="1:6">
      <c r="A2477"/>
      <c r="B2477"/>
      <c r="C2477"/>
      <c r="D2477"/>
      <c r="E2477"/>
      <c r="F2477"/>
    </row>
    <row r="2478" spans="1:6">
      <c r="A2478"/>
      <c r="B2478"/>
      <c r="C2478"/>
      <c r="D2478"/>
      <c r="E2478"/>
      <c r="F2478"/>
    </row>
    <row r="2479" spans="1:6">
      <c r="A2479"/>
      <c r="B2479"/>
      <c r="C2479"/>
      <c r="D2479"/>
      <c r="E2479"/>
      <c r="F2479"/>
    </row>
    <row r="2480" spans="1:6">
      <c r="A2480"/>
      <c r="B2480"/>
      <c r="C2480"/>
      <c r="D2480"/>
      <c r="E2480"/>
      <c r="F2480"/>
    </row>
    <row r="2481" spans="1:6">
      <c r="A2481"/>
      <c r="B2481"/>
      <c r="C2481"/>
      <c r="D2481"/>
      <c r="E2481"/>
      <c r="F2481"/>
    </row>
    <row r="2482" spans="1:6">
      <c r="A2482"/>
      <c r="B2482"/>
      <c r="C2482"/>
      <c r="D2482"/>
      <c r="E2482"/>
      <c r="F2482"/>
    </row>
    <row r="2483" spans="1:6">
      <c r="A2483"/>
      <c r="B2483"/>
      <c r="C2483"/>
      <c r="D2483"/>
      <c r="E2483"/>
      <c r="F2483"/>
    </row>
    <row r="2484" spans="1:6">
      <c r="A2484"/>
      <c r="B2484"/>
      <c r="C2484"/>
      <c r="D2484"/>
      <c r="E2484"/>
      <c r="F2484"/>
    </row>
    <row r="2485" spans="1:6">
      <c r="A2485"/>
      <c r="B2485"/>
      <c r="C2485"/>
      <c r="D2485"/>
      <c r="E2485"/>
      <c r="F2485"/>
    </row>
    <row r="2486" spans="1:6">
      <c r="A2486"/>
      <c r="B2486"/>
      <c r="C2486"/>
      <c r="D2486"/>
      <c r="E2486"/>
      <c r="F2486"/>
    </row>
    <row r="2487" spans="1:6">
      <c r="A2487"/>
      <c r="B2487"/>
      <c r="C2487"/>
      <c r="D2487"/>
      <c r="E2487"/>
      <c r="F2487"/>
    </row>
    <row r="2488" spans="1:6">
      <c r="A2488"/>
      <c r="B2488"/>
      <c r="C2488"/>
      <c r="D2488"/>
      <c r="E2488"/>
      <c r="F2488"/>
    </row>
    <row r="2489" spans="1:6">
      <c r="A2489"/>
      <c r="B2489"/>
      <c r="C2489"/>
      <c r="D2489"/>
      <c r="E2489"/>
      <c r="F2489"/>
    </row>
    <row r="2490" spans="1:6">
      <c r="A2490"/>
      <c r="B2490"/>
      <c r="C2490"/>
      <c r="D2490"/>
      <c r="E2490"/>
      <c r="F2490"/>
    </row>
    <row r="2491" spans="1:6">
      <c r="A2491"/>
      <c r="B2491"/>
      <c r="C2491"/>
      <c r="D2491"/>
      <c r="E2491"/>
      <c r="F2491"/>
    </row>
    <row r="2492" spans="1:6">
      <c r="A2492"/>
      <c r="B2492"/>
      <c r="C2492"/>
      <c r="D2492"/>
      <c r="E2492"/>
      <c r="F2492"/>
    </row>
    <row r="2493" spans="1:6">
      <c r="A2493"/>
      <c r="B2493"/>
      <c r="C2493"/>
      <c r="D2493"/>
      <c r="E2493"/>
      <c r="F2493"/>
    </row>
    <row r="2494" spans="1:6">
      <c r="A2494"/>
      <c r="B2494"/>
      <c r="C2494"/>
      <c r="D2494"/>
      <c r="E2494"/>
      <c r="F2494"/>
    </row>
    <row r="2495" spans="1:6">
      <c r="A2495"/>
      <c r="B2495"/>
      <c r="C2495"/>
      <c r="D2495"/>
      <c r="E2495"/>
      <c r="F2495"/>
    </row>
    <row r="2496" spans="1:6">
      <c r="A2496"/>
      <c r="B2496"/>
      <c r="C2496"/>
      <c r="D2496"/>
      <c r="E2496"/>
      <c r="F2496"/>
    </row>
    <row r="2497" spans="1:6">
      <c r="A2497"/>
      <c r="B2497"/>
      <c r="C2497"/>
      <c r="D2497"/>
      <c r="E2497"/>
      <c r="F2497"/>
    </row>
    <row r="2498" spans="1:6">
      <c r="A2498"/>
      <c r="B2498"/>
      <c r="C2498"/>
      <c r="D2498"/>
      <c r="E2498"/>
      <c r="F2498"/>
    </row>
    <row r="2499" spans="1:6">
      <c r="A2499"/>
      <c r="B2499"/>
      <c r="C2499"/>
      <c r="D2499"/>
      <c r="E2499"/>
      <c r="F2499"/>
    </row>
    <row r="2500" spans="1:6">
      <c r="A2500"/>
      <c r="B2500"/>
      <c r="C2500"/>
      <c r="D2500"/>
      <c r="E2500"/>
      <c r="F2500"/>
    </row>
    <row r="2501" spans="1:6">
      <c r="A2501"/>
      <c r="B2501"/>
      <c r="C2501"/>
      <c r="D2501"/>
      <c r="E2501"/>
      <c r="F2501"/>
    </row>
    <row r="2502" spans="1:6">
      <c r="A2502"/>
      <c r="B2502"/>
      <c r="C2502"/>
      <c r="D2502"/>
      <c r="E2502"/>
      <c r="F2502"/>
    </row>
    <row r="2503" spans="1:6">
      <c r="A2503"/>
      <c r="B2503"/>
      <c r="C2503"/>
      <c r="D2503"/>
      <c r="E2503"/>
      <c r="F2503"/>
    </row>
    <row r="2504" spans="1:6">
      <c r="A2504"/>
      <c r="B2504"/>
      <c r="C2504"/>
      <c r="D2504"/>
      <c r="E2504"/>
      <c r="F2504"/>
    </row>
    <row r="2505" spans="1:6">
      <c r="A2505"/>
      <c r="B2505"/>
      <c r="C2505"/>
      <c r="D2505"/>
      <c r="E2505"/>
      <c r="F2505"/>
    </row>
    <row r="2506" spans="1:6">
      <c r="A2506"/>
      <c r="B2506"/>
      <c r="C2506"/>
      <c r="D2506"/>
      <c r="E2506"/>
      <c r="F2506"/>
    </row>
    <row r="2507" spans="1:6">
      <c r="A2507"/>
      <c r="B2507"/>
      <c r="C2507"/>
      <c r="D2507"/>
      <c r="E2507"/>
      <c r="F2507"/>
    </row>
    <row r="2508" spans="1:6">
      <c r="A2508"/>
      <c r="B2508"/>
      <c r="C2508"/>
      <c r="D2508"/>
      <c r="E2508"/>
      <c r="F2508"/>
    </row>
    <row r="2509" spans="1:6">
      <c r="A2509"/>
      <c r="B2509"/>
      <c r="C2509"/>
      <c r="D2509"/>
      <c r="E2509"/>
      <c r="F2509"/>
    </row>
    <row r="2510" spans="1:6">
      <c r="A2510"/>
      <c r="B2510"/>
      <c r="C2510"/>
      <c r="D2510"/>
      <c r="E2510"/>
      <c r="F2510"/>
    </row>
    <row r="2511" spans="1:6">
      <c r="A2511"/>
      <c r="B2511"/>
      <c r="C2511"/>
      <c r="D2511"/>
      <c r="E2511"/>
      <c r="F2511"/>
    </row>
    <row r="2512" spans="1:6">
      <c r="A2512"/>
      <c r="B2512"/>
      <c r="C2512"/>
      <c r="D2512"/>
      <c r="E2512"/>
      <c r="F2512"/>
    </row>
    <row r="2513" spans="1:6">
      <c r="A2513"/>
      <c r="B2513"/>
      <c r="C2513"/>
      <c r="D2513"/>
      <c r="E2513"/>
      <c r="F2513"/>
    </row>
    <row r="2514" spans="1:6">
      <c r="A2514"/>
      <c r="B2514"/>
      <c r="C2514"/>
      <c r="D2514"/>
      <c r="E2514"/>
      <c r="F2514"/>
    </row>
    <row r="2515" spans="1:6">
      <c r="A2515"/>
      <c r="B2515"/>
      <c r="C2515"/>
      <c r="D2515"/>
      <c r="E2515"/>
      <c r="F2515"/>
    </row>
    <row r="2516" spans="1:6">
      <c r="A2516"/>
      <c r="B2516"/>
      <c r="C2516"/>
      <c r="D2516"/>
      <c r="E2516"/>
      <c r="F2516"/>
    </row>
    <row r="2517" spans="1:6">
      <c r="A2517"/>
      <c r="B2517"/>
      <c r="C2517"/>
      <c r="D2517"/>
      <c r="E2517"/>
      <c r="F2517"/>
    </row>
    <row r="2518" spans="1:6">
      <c r="A2518"/>
      <c r="B2518"/>
      <c r="C2518"/>
      <c r="D2518"/>
      <c r="E2518"/>
      <c r="F2518"/>
    </row>
    <row r="2519" spans="1:6">
      <c r="A2519"/>
      <c r="B2519"/>
      <c r="C2519"/>
      <c r="D2519"/>
      <c r="E2519"/>
      <c r="F2519"/>
    </row>
    <row r="2520" spans="1:6">
      <c r="A2520"/>
      <c r="B2520"/>
      <c r="C2520"/>
      <c r="D2520"/>
      <c r="E2520"/>
      <c r="F2520"/>
    </row>
    <row r="2521" spans="1:6">
      <c r="A2521"/>
      <c r="B2521"/>
      <c r="C2521"/>
      <c r="D2521"/>
      <c r="E2521"/>
      <c r="F2521"/>
    </row>
    <row r="2522" spans="1:6">
      <c r="A2522"/>
      <c r="B2522"/>
      <c r="C2522"/>
      <c r="D2522"/>
      <c r="E2522"/>
      <c r="F2522"/>
    </row>
    <row r="2523" spans="1:6">
      <c r="A2523"/>
      <c r="B2523"/>
      <c r="C2523"/>
      <c r="D2523"/>
      <c r="E2523"/>
      <c r="F2523"/>
    </row>
    <row r="2524" spans="1:6">
      <c r="A2524"/>
      <c r="B2524"/>
      <c r="C2524"/>
      <c r="D2524"/>
      <c r="E2524"/>
      <c r="F2524"/>
    </row>
    <row r="2525" spans="1:6">
      <c r="A2525"/>
      <c r="B2525"/>
      <c r="C2525"/>
      <c r="D2525"/>
      <c r="E2525"/>
      <c r="F2525"/>
    </row>
    <row r="2526" spans="1:6">
      <c r="A2526"/>
      <c r="B2526"/>
      <c r="C2526"/>
      <c r="D2526"/>
      <c r="E2526"/>
      <c r="F2526"/>
    </row>
    <row r="2527" spans="1:6">
      <c r="A2527"/>
      <c r="B2527"/>
      <c r="C2527"/>
      <c r="D2527"/>
      <c r="E2527"/>
      <c r="F2527"/>
    </row>
    <row r="2528" spans="1:6">
      <c r="A2528"/>
      <c r="B2528"/>
      <c r="C2528"/>
      <c r="D2528"/>
      <c r="E2528"/>
      <c r="F2528"/>
    </row>
    <row r="2529" spans="1:6">
      <c r="A2529"/>
      <c r="B2529"/>
      <c r="C2529"/>
      <c r="D2529"/>
      <c r="E2529"/>
      <c r="F2529"/>
    </row>
    <row r="2530" spans="1:6">
      <c r="A2530"/>
      <c r="B2530"/>
      <c r="C2530"/>
      <c r="D2530"/>
      <c r="E2530"/>
      <c r="F2530"/>
    </row>
    <row r="2531" spans="1:6">
      <c r="A2531"/>
      <c r="B2531"/>
      <c r="C2531"/>
      <c r="D2531"/>
      <c r="E2531"/>
      <c r="F2531"/>
    </row>
    <row r="2532" spans="1:6">
      <c r="A2532"/>
      <c r="B2532"/>
      <c r="C2532"/>
      <c r="D2532"/>
      <c r="E2532"/>
      <c r="F2532"/>
    </row>
    <row r="2533" spans="1:6">
      <c r="A2533"/>
      <c r="B2533"/>
      <c r="C2533"/>
      <c r="D2533"/>
      <c r="E2533"/>
      <c r="F2533"/>
    </row>
    <row r="2534" spans="1:6">
      <c r="A2534"/>
      <c r="B2534"/>
      <c r="C2534"/>
      <c r="D2534"/>
      <c r="E2534"/>
      <c r="F2534"/>
    </row>
    <row r="2535" spans="1:6">
      <c r="A2535"/>
      <c r="B2535"/>
      <c r="C2535"/>
      <c r="D2535"/>
      <c r="E2535"/>
      <c r="F2535"/>
    </row>
    <row r="2536" spans="1:6">
      <c r="A2536"/>
      <c r="B2536"/>
      <c r="C2536"/>
      <c r="D2536"/>
      <c r="E2536"/>
      <c r="F2536"/>
    </row>
    <row r="2537" spans="1:6">
      <c r="A2537"/>
      <c r="B2537"/>
      <c r="C2537"/>
      <c r="D2537"/>
      <c r="E2537"/>
      <c r="F2537"/>
    </row>
    <row r="2538" spans="1:6">
      <c r="A2538"/>
      <c r="B2538"/>
      <c r="C2538"/>
      <c r="D2538"/>
      <c r="E2538"/>
      <c r="F2538"/>
    </row>
    <row r="2539" spans="1:6">
      <c r="A2539"/>
      <c r="B2539"/>
      <c r="C2539"/>
      <c r="D2539"/>
      <c r="E2539"/>
      <c r="F2539"/>
    </row>
    <row r="2540" spans="1:6">
      <c r="A2540"/>
      <c r="B2540"/>
      <c r="C2540"/>
      <c r="D2540"/>
      <c r="E2540"/>
      <c r="F2540"/>
    </row>
    <row r="2541" spans="1:6">
      <c r="A2541"/>
      <c r="B2541"/>
      <c r="C2541"/>
      <c r="D2541"/>
      <c r="E2541"/>
      <c r="F2541"/>
    </row>
    <row r="2542" spans="1:6">
      <c r="A2542"/>
      <c r="B2542"/>
      <c r="C2542"/>
      <c r="D2542"/>
      <c r="E2542"/>
      <c r="F2542"/>
    </row>
    <row r="2543" spans="1:6">
      <c r="A2543"/>
      <c r="B2543"/>
      <c r="C2543"/>
      <c r="D2543"/>
      <c r="E2543"/>
      <c r="F2543"/>
    </row>
    <row r="2544" spans="1:6">
      <c r="A2544"/>
      <c r="B2544"/>
      <c r="C2544"/>
      <c r="D2544"/>
      <c r="E2544"/>
      <c r="F2544"/>
    </row>
    <row r="2545" spans="1:6">
      <c r="A2545"/>
      <c r="B2545"/>
      <c r="C2545"/>
      <c r="D2545"/>
      <c r="E2545"/>
      <c r="F2545"/>
    </row>
    <row r="2546" spans="1:6">
      <c r="A2546"/>
      <c r="B2546"/>
      <c r="C2546"/>
      <c r="D2546"/>
      <c r="E2546"/>
      <c r="F2546"/>
    </row>
    <row r="2547" spans="1:6">
      <c r="A2547"/>
      <c r="B2547"/>
      <c r="C2547"/>
      <c r="D2547"/>
      <c r="E2547"/>
      <c r="F2547"/>
    </row>
    <row r="2548" spans="1:6">
      <c r="A2548"/>
      <c r="B2548"/>
      <c r="C2548"/>
      <c r="D2548"/>
      <c r="E2548"/>
      <c r="F2548"/>
    </row>
    <row r="2549" spans="1:6">
      <c r="A2549"/>
      <c r="B2549"/>
      <c r="C2549"/>
      <c r="D2549"/>
      <c r="E2549"/>
      <c r="F2549"/>
    </row>
    <row r="2550" spans="1:6">
      <c r="A2550"/>
      <c r="B2550"/>
      <c r="C2550"/>
      <c r="D2550"/>
      <c r="E2550"/>
      <c r="F2550"/>
    </row>
    <row r="2551" spans="1:6">
      <c r="A2551"/>
      <c r="B2551"/>
      <c r="C2551"/>
      <c r="D2551"/>
      <c r="E2551"/>
      <c r="F2551"/>
    </row>
    <row r="2552" spans="1:6">
      <c r="A2552"/>
      <c r="B2552"/>
      <c r="C2552"/>
      <c r="D2552"/>
      <c r="E2552"/>
      <c r="F2552"/>
    </row>
    <row r="2553" spans="1:6">
      <c r="A2553"/>
      <c r="B2553"/>
      <c r="C2553"/>
      <c r="D2553"/>
      <c r="E2553"/>
      <c r="F2553"/>
    </row>
    <row r="2554" spans="1:6">
      <c r="A2554"/>
      <c r="B2554"/>
      <c r="C2554"/>
      <c r="D2554"/>
      <c r="E2554"/>
      <c r="F2554"/>
    </row>
    <row r="2555" spans="1:6">
      <c r="A2555"/>
      <c r="B2555"/>
      <c r="C2555"/>
      <c r="D2555"/>
      <c r="E2555"/>
      <c r="F2555"/>
    </row>
    <row r="2556" spans="1:6">
      <c r="A2556"/>
      <c r="B2556"/>
      <c r="C2556"/>
      <c r="D2556"/>
      <c r="E2556"/>
      <c r="F2556"/>
    </row>
    <row r="2557" spans="1:6">
      <c r="A2557"/>
      <c r="B2557"/>
      <c r="C2557"/>
      <c r="D2557"/>
      <c r="E2557"/>
      <c r="F2557"/>
    </row>
    <row r="2558" spans="1:6">
      <c r="A2558"/>
      <c r="B2558"/>
      <c r="C2558"/>
      <c r="D2558"/>
      <c r="E2558"/>
      <c r="F2558"/>
    </row>
    <row r="2559" spans="1:6">
      <c r="A2559"/>
      <c r="B2559"/>
      <c r="C2559"/>
      <c r="D2559"/>
      <c r="E2559"/>
      <c r="F2559"/>
    </row>
    <row r="2560" spans="1:6">
      <c r="A2560"/>
      <c r="B2560"/>
      <c r="C2560"/>
      <c r="D2560"/>
      <c r="E2560"/>
      <c r="F2560"/>
    </row>
    <row r="2561" spans="1:6">
      <c r="A2561"/>
      <c r="B2561"/>
      <c r="C2561"/>
      <c r="D2561"/>
      <c r="E2561"/>
      <c r="F2561"/>
    </row>
    <row r="2562" spans="1:6">
      <c r="A2562"/>
      <c r="B2562"/>
      <c r="C2562"/>
      <c r="D2562"/>
      <c r="E2562"/>
      <c r="F2562"/>
    </row>
    <row r="2563" spans="1:6">
      <c r="A2563"/>
      <c r="B2563"/>
      <c r="C2563"/>
      <c r="D2563"/>
      <c r="E2563"/>
      <c r="F2563"/>
    </row>
    <row r="2564" spans="1:6">
      <c r="A2564"/>
      <c r="B2564"/>
      <c r="C2564"/>
      <c r="D2564"/>
      <c r="E2564"/>
      <c r="F2564"/>
    </row>
    <row r="2565" spans="1:6">
      <c r="A2565"/>
      <c r="B2565"/>
      <c r="C2565"/>
      <c r="D2565"/>
      <c r="E2565"/>
      <c r="F2565"/>
    </row>
    <row r="2566" spans="1:6">
      <c r="A2566"/>
      <c r="B2566"/>
      <c r="C2566"/>
      <c r="D2566"/>
      <c r="E2566"/>
      <c r="F2566"/>
    </row>
    <row r="2567" spans="1:6">
      <c r="A2567"/>
      <c r="B2567"/>
      <c r="C2567"/>
      <c r="D2567"/>
      <c r="E2567"/>
      <c r="F2567"/>
    </row>
    <row r="2568" spans="1:6">
      <c r="A2568"/>
      <c r="B2568"/>
      <c r="C2568"/>
      <c r="D2568"/>
      <c r="E2568"/>
      <c r="F2568"/>
    </row>
    <row r="2569" spans="1:6">
      <c r="A2569"/>
      <c r="B2569"/>
      <c r="C2569"/>
      <c r="D2569"/>
      <c r="E2569"/>
      <c r="F2569"/>
    </row>
    <row r="2570" spans="1:6">
      <c r="A2570"/>
      <c r="B2570"/>
      <c r="C2570"/>
      <c r="D2570"/>
      <c r="E2570"/>
      <c r="F2570"/>
    </row>
    <row r="2571" spans="1:6">
      <c r="A2571"/>
      <c r="B2571"/>
      <c r="C2571"/>
      <c r="D2571"/>
      <c r="E2571"/>
      <c r="F2571"/>
    </row>
    <row r="2572" spans="1:6">
      <c r="A2572"/>
      <c r="B2572"/>
      <c r="C2572"/>
      <c r="D2572"/>
      <c r="E2572"/>
      <c r="F2572"/>
    </row>
    <row r="2573" spans="1:6">
      <c r="A2573"/>
      <c r="B2573"/>
      <c r="C2573"/>
      <c r="D2573"/>
      <c r="E2573"/>
      <c r="F2573"/>
    </row>
    <row r="2574" spans="1:6">
      <c r="A2574"/>
      <c r="B2574"/>
      <c r="C2574"/>
      <c r="D2574"/>
      <c r="E2574"/>
      <c r="F2574"/>
    </row>
    <row r="2575" spans="1:6">
      <c r="A2575"/>
      <c r="B2575"/>
      <c r="C2575"/>
      <c r="D2575"/>
      <c r="E2575"/>
      <c r="F2575"/>
    </row>
    <row r="2576" spans="1:6">
      <c r="A2576"/>
      <c r="B2576"/>
      <c r="C2576"/>
      <c r="D2576"/>
      <c r="E2576"/>
      <c r="F2576"/>
    </row>
    <row r="2577" spans="1:6">
      <c r="A2577"/>
      <c r="B2577"/>
      <c r="C2577"/>
      <c r="D2577"/>
      <c r="E2577"/>
      <c r="F2577"/>
    </row>
    <row r="2578" spans="1:6">
      <c r="A2578"/>
      <c r="B2578"/>
      <c r="C2578"/>
      <c r="D2578"/>
      <c r="E2578"/>
      <c r="F2578"/>
    </row>
    <row r="2579" spans="1:6">
      <c r="A2579"/>
      <c r="B2579"/>
      <c r="C2579"/>
      <c r="D2579"/>
      <c r="E2579"/>
      <c r="F2579"/>
    </row>
    <row r="2580" spans="1:6">
      <c r="A2580"/>
      <c r="B2580"/>
      <c r="C2580"/>
      <c r="D2580"/>
      <c r="E2580"/>
      <c r="F2580"/>
    </row>
    <row r="2581" spans="1:6">
      <c r="A2581"/>
      <c r="B2581"/>
      <c r="C2581"/>
      <c r="D2581"/>
      <c r="E2581"/>
      <c r="F2581"/>
    </row>
    <row r="2582" spans="1:6">
      <c r="A2582"/>
      <c r="B2582"/>
      <c r="C2582"/>
      <c r="D2582"/>
      <c r="E2582"/>
      <c r="F2582"/>
    </row>
    <row r="2583" spans="1:6">
      <c r="A2583"/>
      <c r="B2583"/>
      <c r="C2583"/>
      <c r="D2583"/>
      <c r="E2583"/>
      <c r="F2583"/>
    </row>
    <row r="2584" spans="1:6">
      <c r="A2584"/>
      <c r="B2584"/>
      <c r="C2584"/>
      <c r="D2584"/>
      <c r="E2584"/>
      <c r="F2584"/>
    </row>
    <row r="2585" spans="1:6">
      <c r="A2585"/>
      <c r="B2585"/>
      <c r="C2585"/>
      <c r="D2585"/>
      <c r="E2585"/>
      <c r="F2585"/>
    </row>
    <row r="2586" spans="1:6">
      <c r="A2586"/>
      <c r="B2586"/>
      <c r="C2586"/>
      <c r="D2586"/>
      <c r="E2586"/>
      <c r="F2586"/>
    </row>
    <row r="2587" spans="1:6">
      <c r="A2587"/>
      <c r="B2587"/>
      <c r="C2587"/>
      <c r="D2587"/>
      <c r="E2587"/>
      <c r="F2587"/>
    </row>
    <row r="2588" spans="1:6">
      <c r="A2588"/>
      <c r="B2588"/>
      <c r="C2588"/>
      <c r="D2588"/>
      <c r="E2588"/>
      <c r="F2588"/>
    </row>
    <row r="2589" spans="1:6">
      <c r="A2589"/>
      <c r="B2589"/>
      <c r="C2589"/>
      <c r="D2589"/>
      <c r="E2589"/>
      <c r="F2589"/>
    </row>
    <row r="2590" spans="1:6">
      <c r="A2590"/>
      <c r="B2590"/>
      <c r="C2590"/>
      <c r="D2590"/>
      <c r="E2590"/>
      <c r="F2590"/>
    </row>
    <row r="2591" spans="1:6">
      <c r="A2591"/>
      <c r="B2591"/>
      <c r="C2591"/>
      <c r="D2591"/>
      <c r="E2591"/>
      <c r="F2591"/>
    </row>
    <row r="2592" spans="1:6">
      <c r="A2592"/>
      <c r="B2592"/>
      <c r="C2592"/>
      <c r="D2592"/>
      <c r="E2592"/>
      <c r="F2592"/>
    </row>
    <row r="2593" spans="1:6">
      <c r="A2593"/>
      <c r="B2593"/>
      <c r="C2593"/>
      <c r="D2593"/>
      <c r="E2593"/>
      <c r="F2593"/>
    </row>
    <row r="2594" spans="1:6">
      <c r="A2594"/>
      <c r="B2594"/>
      <c r="C2594"/>
      <c r="D2594"/>
      <c r="E2594"/>
      <c r="F2594"/>
    </row>
    <row r="2595" spans="1:6">
      <c r="A2595"/>
      <c r="B2595"/>
      <c r="C2595"/>
      <c r="D2595"/>
      <c r="E2595"/>
      <c r="F2595"/>
    </row>
    <row r="2596" spans="1:6">
      <c r="A2596"/>
      <c r="B2596"/>
      <c r="C2596"/>
      <c r="D2596"/>
      <c r="E2596"/>
      <c r="F2596"/>
    </row>
    <row r="2597" spans="1:6">
      <c r="A2597"/>
      <c r="B2597"/>
      <c r="C2597"/>
      <c r="D2597"/>
      <c r="E2597"/>
      <c r="F2597"/>
    </row>
    <row r="2598" spans="1:6">
      <c r="A2598"/>
      <c r="B2598"/>
      <c r="C2598"/>
      <c r="D2598"/>
      <c r="E2598"/>
      <c r="F2598"/>
    </row>
    <row r="2599" spans="1:6">
      <c r="A2599"/>
      <c r="B2599"/>
      <c r="C2599"/>
      <c r="D2599"/>
      <c r="E2599"/>
      <c r="F2599"/>
    </row>
    <row r="2600" spans="1:6">
      <c r="A2600"/>
      <c r="B2600"/>
      <c r="C2600"/>
      <c r="D2600"/>
      <c r="E2600"/>
      <c r="F2600"/>
    </row>
    <row r="2601" spans="1:6">
      <c r="A2601"/>
      <c r="B2601"/>
      <c r="C2601"/>
      <c r="D2601"/>
      <c r="E2601"/>
      <c r="F2601"/>
    </row>
    <row r="2602" spans="1:6">
      <c r="A2602"/>
      <c r="B2602"/>
      <c r="C2602"/>
      <c r="D2602"/>
      <c r="E2602"/>
      <c r="F2602"/>
    </row>
    <row r="2603" spans="1:6">
      <c r="A2603"/>
      <c r="B2603"/>
      <c r="C2603"/>
      <c r="D2603"/>
      <c r="E2603"/>
      <c r="F2603"/>
    </row>
    <row r="2604" spans="1:6">
      <c r="A2604"/>
      <c r="B2604"/>
      <c r="C2604"/>
      <c r="D2604"/>
      <c r="E2604"/>
      <c r="F2604"/>
    </row>
    <row r="2605" spans="1:6">
      <c r="A2605"/>
      <c r="B2605"/>
      <c r="C2605"/>
      <c r="D2605"/>
      <c r="E2605"/>
      <c r="F2605"/>
    </row>
    <row r="2606" spans="1:6">
      <c r="A2606"/>
      <c r="B2606"/>
      <c r="C2606"/>
      <c r="D2606"/>
      <c r="E2606"/>
      <c r="F2606"/>
    </row>
    <row r="2607" spans="1:6">
      <c r="A2607"/>
      <c r="B2607"/>
      <c r="C2607"/>
      <c r="D2607"/>
      <c r="E2607"/>
      <c r="F2607"/>
    </row>
    <row r="2608" spans="1:6">
      <c r="A2608"/>
      <c r="B2608"/>
      <c r="C2608"/>
      <c r="D2608"/>
      <c r="E2608"/>
      <c r="F2608"/>
    </row>
    <row r="2609" spans="1:6">
      <c r="A2609"/>
      <c r="B2609"/>
      <c r="C2609"/>
      <c r="D2609"/>
      <c r="E2609"/>
      <c r="F2609"/>
    </row>
    <row r="2610" spans="1:6">
      <c r="A2610"/>
      <c r="B2610"/>
      <c r="C2610"/>
      <c r="D2610"/>
      <c r="E2610"/>
      <c r="F2610"/>
    </row>
    <row r="2611" spans="1:6">
      <c r="A2611"/>
      <c r="B2611"/>
      <c r="C2611"/>
      <c r="D2611"/>
      <c r="E2611"/>
      <c r="F2611"/>
    </row>
    <row r="2612" spans="1:6">
      <c r="A2612"/>
      <c r="B2612"/>
      <c r="C2612"/>
      <c r="D2612"/>
      <c r="E2612"/>
      <c r="F2612"/>
    </row>
    <row r="2613" spans="1:6">
      <c r="A2613"/>
      <c r="B2613"/>
      <c r="C2613"/>
      <c r="D2613"/>
      <c r="E2613"/>
      <c r="F2613"/>
    </row>
    <row r="2614" spans="1:6">
      <c r="A2614"/>
      <c r="B2614"/>
      <c r="C2614"/>
      <c r="D2614"/>
      <c r="E2614"/>
      <c r="F2614"/>
    </row>
    <row r="2615" spans="1:6">
      <c r="A2615"/>
      <c r="B2615"/>
      <c r="C2615"/>
      <c r="D2615"/>
      <c r="E2615"/>
      <c r="F2615"/>
    </row>
    <row r="2616" spans="1:6">
      <c r="A2616"/>
      <c r="B2616"/>
      <c r="C2616"/>
      <c r="D2616"/>
      <c r="E2616"/>
      <c r="F2616"/>
    </row>
    <row r="2617" spans="1:6">
      <c r="A2617"/>
      <c r="B2617"/>
      <c r="C2617"/>
      <c r="D2617"/>
      <c r="E2617"/>
      <c r="F2617"/>
    </row>
    <row r="2618" spans="1:6">
      <c r="A2618"/>
      <c r="B2618"/>
      <c r="C2618"/>
      <c r="D2618"/>
      <c r="E2618"/>
      <c r="F2618"/>
    </row>
    <row r="2619" spans="1:6">
      <c r="A2619"/>
      <c r="B2619"/>
      <c r="C2619"/>
      <c r="D2619"/>
      <c r="E2619"/>
      <c r="F2619"/>
    </row>
    <row r="2620" spans="1:6">
      <c r="A2620"/>
      <c r="B2620"/>
      <c r="C2620"/>
      <c r="D2620"/>
      <c r="E2620"/>
      <c r="F2620"/>
    </row>
    <row r="2621" spans="1:6">
      <c r="A2621"/>
      <c r="B2621"/>
      <c r="C2621"/>
      <c r="D2621"/>
      <c r="E2621"/>
      <c r="F2621"/>
    </row>
    <row r="2622" spans="1:6">
      <c r="A2622"/>
      <c r="B2622"/>
      <c r="C2622"/>
      <c r="D2622"/>
      <c r="E2622"/>
      <c r="F2622"/>
    </row>
    <row r="2623" spans="1:6">
      <c r="A2623"/>
      <c r="B2623"/>
      <c r="C2623"/>
      <c r="D2623"/>
      <c r="E2623"/>
      <c r="F2623"/>
    </row>
    <row r="2624" spans="1:6">
      <c r="A2624"/>
      <c r="B2624"/>
      <c r="C2624"/>
      <c r="D2624"/>
      <c r="E2624"/>
      <c r="F2624"/>
    </row>
    <row r="2625" spans="1:6">
      <c r="A2625"/>
      <c r="B2625"/>
      <c r="C2625"/>
      <c r="D2625"/>
      <c r="E2625"/>
      <c r="F2625"/>
    </row>
    <row r="2626" spans="1:6">
      <c r="A2626"/>
      <c r="B2626"/>
      <c r="C2626"/>
      <c r="D2626"/>
      <c r="E2626"/>
      <c r="F2626"/>
    </row>
    <row r="2627" spans="1:6">
      <c r="A2627"/>
      <c r="B2627"/>
      <c r="C2627"/>
      <c r="D2627"/>
      <c r="E2627"/>
      <c r="F2627"/>
    </row>
    <row r="2628" spans="1:6">
      <c r="A2628"/>
      <c r="B2628"/>
      <c r="C2628"/>
      <c r="D2628"/>
      <c r="E2628"/>
      <c r="F2628"/>
    </row>
    <row r="2629" spans="1:6">
      <c r="A2629"/>
      <c r="B2629"/>
      <c r="C2629"/>
      <c r="D2629"/>
      <c r="E2629"/>
      <c r="F2629"/>
    </row>
    <row r="2630" spans="1:6">
      <c r="A2630"/>
      <c r="B2630"/>
      <c r="C2630"/>
      <c r="D2630"/>
      <c r="E2630"/>
      <c r="F2630"/>
    </row>
    <row r="2631" spans="1:6">
      <c r="A2631"/>
      <c r="B2631"/>
      <c r="C2631"/>
      <c r="D2631"/>
      <c r="E2631"/>
      <c r="F2631"/>
    </row>
    <row r="2632" spans="1:6">
      <c r="A2632"/>
      <c r="B2632"/>
      <c r="C2632"/>
      <c r="D2632"/>
      <c r="E2632"/>
      <c r="F2632"/>
    </row>
    <row r="2633" spans="1:6">
      <c r="A2633"/>
      <c r="B2633"/>
      <c r="C2633"/>
      <c r="D2633"/>
      <c r="E2633"/>
      <c r="F2633"/>
    </row>
    <row r="2634" spans="1:6">
      <c r="A2634"/>
      <c r="B2634"/>
      <c r="C2634"/>
      <c r="D2634"/>
      <c r="E2634"/>
      <c r="F2634"/>
    </row>
    <row r="2635" spans="1:6">
      <c r="A2635"/>
      <c r="B2635"/>
      <c r="C2635"/>
      <c r="D2635"/>
      <c r="E2635"/>
      <c r="F2635"/>
    </row>
    <row r="2636" spans="1:6">
      <c r="A2636"/>
      <c r="B2636"/>
      <c r="C2636"/>
      <c r="D2636"/>
      <c r="E2636"/>
      <c r="F2636"/>
    </row>
    <row r="2637" spans="1:6">
      <c r="A2637"/>
      <c r="B2637"/>
      <c r="C2637"/>
      <c r="D2637"/>
      <c r="E2637"/>
      <c r="F2637"/>
    </row>
    <row r="2638" spans="1:6">
      <c r="A2638"/>
      <c r="B2638"/>
      <c r="C2638"/>
      <c r="D2638"/>
      <c r="E2638"/>
      <c r="F2638"/>
    </row>
    <row r="2639" spans="1:6">
      <c r="A2639"/>
      <c r="B2639"/>
      <c r="C2639"/>
      <c r="D2639"/>
      <c r="E2639"/>
      <c r="F2639"/>
    </row>
    <row r="2640" spans="1:6">
      <c r="A2640"/>
      <c r="B2640"/>
      <c r="C2640"/>
      <c r="D2640"/>
      <c r="E2640"/>
      <c r="F2640"/>
    </row>
    <row r="2641" spans="1:6">
      <c r="A2641"/>
      <c r="B2641"/>
      <c r="C2641"/>
      <c r="D2641"/>
      <c r="E2641"/>
      <c r="F2641"/>
    </row>
    <row r="2642" spans="1:6">
      <c r="A2642"/>
      <c r="B2642"/>
      <c r="C2642"/>
      <c r="D2642"/>
      <c r="E2642"/>
      <c r="F2642"/>
    </row>
    <row r="2643" spans="1:6">
      <c r="A2643"/>
      <c r="B2643"/>
      <c r="C2643"/>
      <c r="D2643"/>
      <c r="E2643"/>
      <c r="F2643"/>
    </row>
    <row r="2644" spans="1:6">
      <c r="A2644"/>
      <c r="B2644"/>
      <c r="C2644"/>
      <c r="D2644"/>
      <c r="E2644"/>
      <c r="F2644"/>
    </row>
    <row r="2645" spans="1:6">
      <c r="A2645"/>
      <c r="B2645"/>
      <c r="C2645"/>
      <c r="D2645"/>
      <c r="E2645"/>
      <c r="F2645"/>
    </row>
    <row r="2646" spans="1:6">
      <c r="A2646"/>
      <c r="B2646"/>
      <c r="C2646"/>
      <c r="D2646"/>
      <c r="E2646"/>
      <c r="F2646"/>
    </row>
    <row r="2647" spans="1:6">
      <c r="A2647"/>
      <c r="B2647"/>
      <c r="C2647"/>
      <c r="D2647"/>
      <c r="E2647"/>
      <c r="F2647"/>
    </row>
    <row r="2648" spans="1:6">
      <c r="A2648"/>
      <c r="B2648"/>
      <c r="C2648"/>
      <c r="D2648"/>
      <c r="E2648"/>
      <c r="F2648"/>
    </row>
    <row r="2649" spans="1:6">
      <c r="A2649"/>
      <c r="B2649"/>
      <c r="C2649"/>
      <c r="D2649"/>
      <c r="E2649"/>
      <c r="F2649"/>
    </row>
    <row r="2650" spans="1:6">
      <c r="A2650"/>
      <c r="B2650"/>
      <c r="C2650"/>
      <c r="D2650"/>
      <c r="E2650"/>
      <c r="F2650"/>
    </row>
    <row r="2651" spans="1:6">
      <c r="A2651"/>
      <c r="B2651"/>
      <c r="C2651"/>
      <c r="D2651"/>
      <c r="E2651"/>
      <c r="F2651"/>
    </row>
    <row r="2652" spans="1:6">
      <c r="A2652"/>
      <c r="B2652"/>
      <c r="C2652"/>
      <c r="D2652"/>
      <c r="E2652"/>
      <c r="F2652"/>
    </row>
    <row r="2653" spans="1:6">
      <c r="A2653"/>
      <c r="B2653"/>
      <c r="C2653"/>
      <c r="D2653"/>
      <c r="E2653"/>
      <c r="F2653"/>
    </row>
    <row r="2654" spans="1:6">
      <c r="A2654"/>
      <c r="B2654"/>
      <c r="C2654"/>
      <c r="D2654"/>
      <c r="E2654"/>
      <c r="F2654"/>
    </row>
    <row r="2655" spans="1:6">
      <c r="A2655"/>
      <c r="B2655"/>
      <c r="C2655"/>
      <c r="D2655"/>
      <c r="E2655"/>
      <c r="F2655"/>
    </row>
    <row r="2656" spans="1:6">
      <c r="A2656"/>
      <c r="B2656"/>
      <c r="C2656"/>
      <c r="D2656"/>
      <c r="E2656"/>
      <c r="F2656"/>
    </row>
    <row r="2657" spans="1:6">
      <c r="A2657"/>
      <c r="B2657"/>
      <c r="C2657"/>
      <c r="D2657"/>
      <c r="E2657"/>
      <c r="F2657"/>
    </row>
    <row r="2658" spans="1:6">
      <c r="A2658"/>
      <c r="B2658"/>
      <c r="C2658"/>
      <c r="D2658"/>
      <c r="E2658"/>
      <c r="F2658"/>
    </row>
    <row r="2659" spans="1:6">
      <c r="A2659"/>
      <c r="B2659"/>
      <c r="C2659"/>
      <c r="D2659"/>
      <c r="E2659"/>
      <c r="F2659"/>
    </row>
    <row r="2660" spans="1:6">
      <c r="A2660"/>
      <c r="B2660"/>
      <c r="C2660"/>
      <c r="D2660"/>
      <c r="E2660"/>
      <c r="F2660"/>
    </row>
    <row r="2661" spans="1:6">
      <c r="A2661"/>
      <c r="B2661"/>
      <c r="C2661"/>
      <c r="D2661"/>
      <c r="E2661"/>
      <c r="F2661"/>
    </row>
    <row r="2662" spans="1:6">
      <c r="A2662"/>
      <c r="B2662"/>
      <c r="C2662"/>
      <c r="D2662"/>
      <c r="E2662"/>
      <c r="F2662"/>
    </row>
    <row r="2663" spans="1:6">
      <c r="A2663"/>
      <c r="B2663"/>
      <c r="C2663"/>
      <c r="D2663"/>
      <c r="E2663"/>
      <c r="F2663"/>
    </row>
    <row r="2664" spans="1:6">
      <c r="A2664"/>
      <c r="B2664"/>
      <c r="C2664"/>
      <c r="D2664"/>
      <c r="E2664"/>
      <c r="F2664"/>
    </row>
    <row r="2665" spans="1:6">
      <c r="A2665"/>
      <c r="B2665"/>
      <c r="C2665"/>
      <c r="D2665"/>
      <c r="E2665"/>
      <c r="F2665"/>
    </row>
    <row r="2666" spans="1:6">
      <c r="A2666"/>
      <c r="B2666"/>
      <c r="C2666"/>
      <c r="D2666"/>
      <c r="E2666"/>
      <c r="F2666"/>
    </row>
    <row r="2667" spans="1:6">
      <c r="A2667"/>
      <c r="B2667"/>
      <c r="C2667"/>
      <c r="D2667"/>
      <c r="E2667"/>
      <c r="F2667"/>
    </row>
    <row r="2668" spans="1:6">
      <c r="A2668"/>
      <c r="B2668"/>
      <c r="C2668"/>
      <c r="D2668"/>
      <c r="E2668"/>
      <c r="F2668"/>
    </row>
    <row r="2669" spans="1:6">
      <c r="A2669"/>
      <c r="B2669"/>
      <c r="C2669"/>
      <c r="D2669"/>
      <c r="E2669"/>
      <c r="F2669"/>
    </row>
    <row r="2670" spans="1:6">
      <c r="A2670"/>
      <c r="B2670"/>
      <c r="C2670"/>
      <c r="D2670"/>
      <c r="E2670"/>
      <c r="F2670"/>
    </row>
    <row r="2671" spans="1:6">
      <c r="A2671"/>
      <c r="B2671"/>
      <c r="C2671"/>
      <c r="D2671"/>
      <c r="E2671"/>
      <c r="F2671"/>
    </row>
    <row r="2672" spans="1:6">
      <c r="A2672"/>
      <c r="B2672"/>
      <c r="C2672"/>
      <c r="D2672"/>
      <c r="E2672"/>
      <c r="F2672"/>
    </row>
    <row r="2673" spans="1:6">
      <c r="A2673"/>
      <c r="B2673"/>
      <c r="C2673"/>
      <c r="D2673"/>
      <c r="E2673"/>
      <c r="F2673"/>
    </row>
    <row r="2674" spans="1:6">
      <c r="A2674"/>
      <c r="B2674"/>
      <c r="C2674"/>
      <c r="D2674"/>
      <c r="E2674"/>
      <c r="F2674"/>
    </row>
    <row r="2675" spans="1:6">
      <c r="A2675"/>
      <c r="B2675"/>
      <c r="C2675"/>
      <c r="D2675"/>
      <c r="E2675"/>
      <c r="F2675"/>
    </row>
    <row r="2676" spans="1:6">
      <c r="A2676"/>
      <c r="B2676"/>
      <c r="C2676"/>
      <c r="D2676"/>
      <c r="E2676"/>
      <c r="F2676"/>
    </row>
    <row r="2677" spans="1:6">
      <c r="A2677"/>
      <c r="B2677"/>
      <c r="C2677"/>
      <c r="D2677"/>
      <c r="E2677"/>
      <c r="F2677"/>
    </row>
    <row r="2678" spans="1:6">
      <c r="A2678"/>
      <c r="B2678"/>
      <c r="C2678"/>
      <c r="D2678"/>
      <c r="E2678"/>
      <c r="F2678"/>
    </row>
    <row r="2679" spans="1:6">
      <c r="A2679"/>
      <c r="B2679"/>
      <c r="C2679"/>
      <c r="D2679"/>
      <c r="E2679"/>
      <c r="F2679"/>
    </row>
    <row r="2680" spans="1:6">
      <c r="A2680"/>
      <c r="B2680"/>
      <c r="C2680"/>
      <c r="D2680"/>
      <c r="E2680"/>
      <c r="F2680"/>
    </row>
    <row r="2681" spans="1:6">
      <c r="A2681"/>
      <c r="B2681"/>
      <c r="C2681"/>
      <c r="D2681"/>
      <c r="E2681"/>
      <c r="F2681"/>
    </row>
    <row r="2682" spans="1:6">
      <c r="A2682"/>
      <c r="B2682"/>
      <c r="C2682"/>
      <c r="D2682"/>
      <c r="E2682"/>
      <c r="F2682"/>
    </row>
    <row r="2683" spans="1:6">
      <c r="A2683"/>
      <c r="B2683"/>
      <c r="C2683"/>
      <c r="D2683"/>
      <c r="E2683"/>
      <c r="F2683"/>
    </row>
    <row r="2684" spans="1:6">
      <c r="A2684"/>
      <c r="B2684"/>
      <c r="C2684"/>
      <c r="D2684"/>
      <c r="E2684"/>
      <c r="F2684"/>
    </row>
    <row r="2685" spans="1:6">
      <c r="A2685"/>
      <c r="B2685"/>
      <c r="C2685"/>
      <c r="D2685"/>
      <c r="E2685"/>
      <c r="F2685"/>
    </row>
    <row r="2686" spans="1:6">
      <c r="A2686"/>
      <c r="B2686"/>
      <c r="C2686"/>
      <c r="D2686"/>
      <c r="E2686"/>
      <c r="F2686"/>
    </row>
    <row r="2687" spans="1:6">
      <c r="A2687"/>
      <c r="B2687"/>
      <c r="C2687"/>
      <c r="D2687"/>
      <c r="E2687"/>
      <c r="F2687"/>
    </row>
    <row r="2688" spans="1:6">
      <c r="A2688"/>
      <c r="B2688"/>
      <c r="C2688"/>
      <c r="D2688"/>
      <c r="E2688"/>
      <c r="F2688"/>
    </row>
    <row r="2689" spans="1:6">
      <c r="A2689"/>
      <c r="B2689"/>
      <c r="C2689"/>
      <c r="D2689"/>
      <c r="E2689"/>
      <c r="F2689"/>
    </row>
    <row r="2690" spans="1:6">
      <c r="A2690"/>
      <c r="B2690"/>
      <c r="C2690"/>
      <c r="D2690"/>
      <c r="E2690"/>
      <c r="F2690"/>
    </row>
    <row r="2691" spans="1:6">
      <c r="A2691"/>
      <c r="B2691"/>
      <c r="C2691"/>
      <c r="D2691"/>
      <c r="E2691"/>
      <c r="F2691"/>
    </row>
    <row r="2692" spans="1:6">
      <c r="A2692"/>
      <c r="B2692"/>
      <c r="C2692"/>
      <c r="D2692"/>
      <c r="E2692"/>
      <c r="F2692"/>
    </row>
    <row r="2693" spans="1:6">
      <c r="A2693"/>
      <c r="B2693"/>
      <c r="C2693"/>
      <c r="D2693"/>
      <c r="E2693"/>
      <c r="F2693"/>
    </row>
    <row r="2694" spans="1:6">
      <c r="A2694"/>
      <c r="B2694"/>
      <c r="C2694"/>
      <c r="D2694"/>
      <c r="E2694"/>
      <c r="F2694"/>
    </row>
    <row r="2695" spans="1:6">
      <c r="A2695"/>
      <c r="B2695"/>
      <c r="C2695"/>
      <c r="D2695"/>
      <c r="E2695"/>
      <c r="F2695"/>
    </row>
    <row r="2696" spans="1:6">
      <c r="A2696"/>
      <c r="B2696"/>
      <c r="C2696"/>
      <c r="D2696"/>
      <c r="E2696"/>
      <c r="F2696"/>
    </row>
    <row r="2697" spans="1:6">
      <c r="A2697"/>
      <c r="B2697"/>
      <c r="C2697"/>
      <c r="D2697"/>
      <c r="E2697"/>
      <c r="F2697"/>
    </row>
    <row r="2698" spans="1:6">
      <c r="A2698"/>
      <c r="B2698"/>
      <c r="C2698"/>
      <c r="D2698"/>
      <c r="E2698"/>
      <c r="F2698"/>
    </row>
    <row r="2699" spans="1:6">
      <c r="A2699"/>
      <c r="B2699"/>
      <c r="C2699"/>
      <c r="D2699"/>
      <c r="E2699"/>
      <c r="F2699"/>
    </row>
    <row r="2700" spans="1:6">
      <c r="A2700"/>
      <c r="B2700"/>
      <c r="C2700"/>
      <c r="D2700"/>
      <c r="E2700"/>
      <c r="F2700"/>
    </row>
    <row r="2701" spans="1:6">
      <c r="A2701"/>
      <c r="B2701"/>
      <c r="C2701"/>
      <c r="D2701"/>
      <c r="E2701"/>
      <c r="F2701"/>
    </row>
    <row r="2702" spans="1:6">
      <c r="A2702"/>
      <c r="B2702"/>
      <c r="C2702"/>
      <c r="D2702"/>
      <c r="E2702"/>
      <c r="F2702"/>
    </row>
    <row r="2703" spans="1:6">
      <c r="A2703"/>
      <c r="B2703"/>
      <c r="C2703"/>
      <c r="D2703"/>
      <c r="E2703"/>
      <c r="F2703"/>
    </row>
    <row r="2704" spans="1:6">
      <c r="A2704"/>
      <c r="B2704"/>
      <c r="C2704"/>
      <c r="D2704"/>
      <c r="E2704"/>
      <c r="F2704"/>
    </row>
    <row r="2705" spans="1:6">
      <c r="A2705"/>
      <c r="B2705"/>
      <c r="C2705"/>
      <c r="D2705"/>
      <c r="E2705"/>
      <c r="F2705"/>
    </row>
    <row r="2706" spans="1:6">
      <c r="A2706"/>
      <c r="B2706"/>
      <c r="C2706"/>
      <c r="D2706"/>
      <c r="E2706"/>
      <c r="F2706"/>
    </row>
    <row r="2707" spans="1:6">
      <c r="A2707"/>
      <c r="B2707"/>
      <c r="C2707"/>
      <c r="D2707"/>
      <c r="E2707"/>
      <c r="F2707"/>
    </row>
    <row r="2708" spans="1:6">
      <c r="A2708"/>
      <c r="B2708"/>
      <c r="C2708"/>
      <c r="D2708"/>
      <c r="E2708"/>
      <c r="F2708"/>
    </row>
    <row r="2709" spans="1:6">
      <c r="A2709"/>
      <c r="B2709"/>
      <c r="C2709"/>
      <c r="D2709"/>
      <c r="E2709"/>
      <c r="F2709"/>
    </row>
    <row r="2710" spans="1:6">
      <c r="A2710"/>
      <c r="B2710"/>
      <c r="C2710"/>
      <c r="D2710"/>
      <c r="E2710"/>
      <c r="F2710"/>
    </row>
    <row r="2711" spans="1:6">
      <c r="A2711"/>
      <c r="B2711"/>
      <c r="C2711"/>
      <c r="D2711"/>
      <c r="E2711"/>
      <c r="F2711"/>
    </row>
    <row r="2712" spans="1:6">
      <c r="A2712"/>
      <c r="B2712"/>
      <c r="C2712"/>
      <c r="D2712"/>
      <c r="E2712"/>
      <c r="F2712"/>
    </row>
    <row r="2713" spans="1:6">
      <c r="A2713"/>
      <c r="B2713"/>
      <c r="C2713"/>
      <c r="D2713"/>
      <c r="E2713"/>
      <c r="F2713"/>
    </row>
    <row r="2714" spans="1:6">
      <c r="A2714"/>
      <c r="B2714"/>
      <c r="C2714"/>
      <c r="D2714"/>
      <c r="E2714"/>
      <c r="F2714"/>
    </row>
    <row r="2715" spans="1:6">
      <c r="A2715"/>
      <c r="B2715"/>
      <c r="C2715"/>
      <c r="D2715"/>
      <c r="E2715"/>
      <c r="F2715"/>
    </row>
    <row r="2716" spans="1:6">
      <c r="A2716"/>
      <c r="B2716"/>
      <c r="C2716"/>
      <c r="D2716"/>
      <c r="E2716"/>
      <c r="F2716"/>
    </row>
    <row r="2717" spans="1:6">
      <c r="A2717"/>
      <c r="B2717"/>
      <c r="C2717"/>
      <c r="D2717"/>
      <c r="E2717"/>
      <c r="F2717"/>
    </row>
    <row r="2718" spans="1:6">
      <c r="A2718"/>
      <c r="B2718"/>
      <c r="C2718"/>
      <c r="D2718"/>
      <c r="E2718"/>
      <c r="F2718"/>
    </row>
    <row r="2719" spans="1:6">
      <c r="A2719"/>
      <c r="B2719"/>
      <c r="C2719"/>
      <c r="D2719"/>
      <c r="E2719"/>
      <c r="F2719"/>
    </row>
    <row r="2720" spans="1:6">
      <c r="A2720"/>
      <c r="B2720"/>
      <c r="C2720"/>
      <c r="D2720"/>
      <c r="E2720"/>
      <c r="F2720"/>
    </row>
    <row r="2721" spans="1:6">
      <c r="A2721"/>
      <c r="B2721"/>
      <c r="C2721"/>
      <c r="D2721"/>
      <c r="E2721"/>
      <c r="F2721"/>
    </row>
    <row r="2722" spans="1:6">
      <c r="A2722"/>
      <c r="B2722"/>
      <c r="C2722"/>
      <c r="D2722"/>
      <c r="E2722"/>
      <c r="F2722"/>
    </row>
    <row r="2723" spans="1:6">
      <c r="A2723"/>
      <c r="B2723"/>
      <c r="C2723"/>
      <c r="D2723"/>
      <c r="E2723"/>
      <c r="F2723"/>
    </row>
    <row r="2724" spans="1:6">
      <c r="A2724"/>
      <c r="B2724"/>
      <c r="C2724"/>
      <c r="D2724"/>
      <c r="E2724"/>
      <c r="F2724"/>
    </row>
    <row r="2725" spans="1:6">
      <c r="A2725"/>
      <c r="B2725"/>
      <c r="C2725"/>
      <c r="D2725"/>
      <c r="E2725"/>
      <c r="F2725"/>
    </row>
    <row r="2726" spans="1:6">
      <c r="A2726"/>
      <c r="B2726"/>
      <c r="C2726"/>
      <c r="D2726"/>
      <c r="E2726"/>
      <c r="F2726"/>
    </row>
    <row r="2727" spans="1:6">
      <c r="A2727"/>
      <c r="B2727"/>
      <c r="C2727"/>
      <c r="D2727"/>
      <c r="E2727"/>
      <c r="F2727"/>
    </row>
    <row r="2728" spans="1:6">
      <c r="A2728"/>
      <c r="B2728"/>
      <c r="C2728"/>
      <c r="D2728"/>
      <c r="E2728"/>
      <c r="F2728"/>
    </row>
    <row r="2729" spans="1:6">
      <c r="A2729"/>
      <c r="B2729"/>
      <c r="C2729"/>
      <c r="D2729"/>
      <c r="E2729"/>
      <c r="F2729"/>
    </row>
    <row r="2730" spans="1:6">
      <c r="A2730"/>
      <c r="B2730"/>
      <c r="C2730"/>
      <c r="D2730"/>
      <c r="E2730"/>
      <c r="F2730"/>
    </row>
    <row r="2731" spans="1:6">
      <c r="A2731"/>
      <c r="B2731"/>
      <c r="C2731"/>
      <c r="D2731"/>
      <c r="E2731"/>
      <c r="F2731"/>
    </row>
    <row r="2732" spans="1:6">
      <c r="A2732"/>
      <c r="B2732"/>
      <c r="C2732"/>
      <c r="D2732"/>
      <c r="E2732"/>
      <c r="F2732"/>
    </row>
    <row r="2733" spans="1:6">
      <c r="A2733"/>
      <c r="B2733"/>
      <c r="C2733"/>
      <c r="D2733"/>
      <c r="E2733"/>
      <c r="F2733"/>
    </row>
    <row r="2734" spans="1:6">
      <c r="A2734"/>
      <c r="B2734"/>
      <c r="C2734"/>
      <c r="D2734"/>
      <c r="E2734"/>
      <c r="F2734"/>
    </row>
    <row r="2735" spans="1:6">
      <c r="A2735"/>
      <c r="B2735"/>
      <c r="C2735"/>
      <c r="D2735"/>
      <c r="E2735"/>
      <c r="F2735"/>
    </row>
    <row r="2736" spans="1:6">
      <c r="A2736"/>
      <c r="B2736"/>
      <c r="C2736"/>
      <c r="D2736"/>
      <c r="E2736"/>
      <c r="F2736"/>
    </row>
    <row r="2737" spans="1:6">
      <c r="A2737"/>
      <c r="B2737"/>
      <c r="C2737"/>
      <c r="D2737"/>
      <c r="E2737"/>
      <c r="F2737"/>
    </row>
    <row r="2738" spans="1:6">
      <c r="A2738"/>
      <c r="B2738"/>
      <c r="C2738"/>
      <c r="D2738"/>
      <c r="E2738"/>
      <c r="F2738"/>
    </row>
    <row r="2739" spans="1:6">
      <c r="A2739"/>
      <c r="B2739"/>
      <c r="C2739"/>
      <c r="D2739"/>
      <c r="E2739"/>
      <c r="F2739"/>
    </row>
    <row r="2740" spans="1:6">
      <c r="A2740"/>
      <c r="B2740"/>
      <c r="C2740"/>
      <c r="D2740"/>
      <c r="E2740"/>
      <c r="F2740"/>
    </row>
    <row r="2741" spans="1:6">
      <c r="A2741"/>
      <c r="B2741"/>
      <c r="C2741"/>
      <c r="D2741"/>
      <c r="E2741"/>
      <c r="F2741"/>
    </row>
    <row r="2742" spans="1:6">
      <c r="A2742"/>
      <c r="B2742"/>
      <c r="C2742"/>
      <c r="D2742"/>
      <c r="E2742"/>
      <c r="F2742"/>
    </row>
    <row r="2743" spans="1:6">
      <c r="A2743"/>
      <c r="B2743"/>
      <c r="C2743"/>
      <c r="D2743"/>
      <c r="E2743"/>
      <c r="F2743"/>
    </row>
    <row r="2744" spans="1:6">
      <c r="A2744"/>
      <c r="B2744"/>
      <c r="C2744"/>
      <c r="D2744"/>
      <c r="E2744"/>
      <c r="F2744"/>
    </row>
    <row r="2745" spans="1:6">
      <c r="A2745"/>
      <c r="B2745"/>
      <c r="C2745"/>
      <c r="D2745"/>
      <c r="E2745"/>
      <c r="F2745"/>
    </row>
    <row r="2746" spans="1:6">
      <c r="A2746"/>
      <c r="B2746"/>
      <c r="C2746"/>
      <c r="D2746"/>
      <c r="E2746"/>
      <c r="F2746"/>
    </row>
    <row r="2747" spans="1:6">
      <c r="A2747"/>
      <c r="B2747"/>
      <c r="C2747"/>
      <c r="D2747"/>
      <c r="E2747"/>
      <c r="F2747"/>
    </row>
    <row r="2748" spans="1:6">
      <c r="A2748"/>
      <c r="B2748"/>
      <c r="C2748"/>
      <c r="D2748"/>
      <c r="E2748"/>
      <c r="F2748"/>
    </row>
    <row r="2749" spans="1:6">
      <c r="A2749"/>
      <c r="B2749"/>
      <c r="C2749"/>
      <c r="D2749"/>
      <c r="E2749"/>
      <c r="F2749"/>
    </row>
    <row r="2750" spans="1:6">
      <c r="A2750"/>
      <c r="B2750"/>
      <c r="C2750"/>
      <c r="D2750"/>
      <c r="E2750"/>
      <c r="F2750"/>
    </row>
    <row r="2751" spans="1:6">
      <c r="A2751"/>
      <c r="B2751"/>
      <c r="C2751"/>
      <c r="D2751"/>
      <c r="E2751"/>
      <c r="F2751"/>
    </row>
    <row r="2752" spans="1:6">
      <c r="A2752"/>
      <c r="B2752"/>
      <c r="C2752"/>
      <c r="D2752"/>
      <c r="E2752"/>
      <c r="F2752"/>
    </row>
    <row r="2753" spans="1:6">
      <c r="A2753"/>
      <c r="B2753"/>
      <c r="C2753"/>
      <c r="D2753"/>
      <c r="E2753"/>
      <c r="F2753"/>
    </row>
    <row r="2754" spans="1:6">
      <c r="A2754"/>
      <c r="B2754"/>
      <c r="C2754"/>
      <c r="D2754"/>
      <c r="E2754"/>
      <c r="F2754"/>
    </row>
    <row r="2755" spans="1:6">
      <c r="A2755"/>
      <c r="B2755"/>
      <c r="C2755"/>
      <c r="D2755"/>
      <c r="E2755"/>
      <c r="F2755"/>
    </row>
    <row r="2756" spans="1:6">
      <c r="A2756"/>
      <c r="B2756"/>
      <c r="C2756"/>
      <c r="D2756"/>
      <c r="E2756"/>
      <c r="F2756"/>
    </row>
    <row r="2757" spans="1:6">
      <c r="A2757"/>
      <c r="B2757"/>
      <c r="C2757"/>
      <c r="D2757"/>
      <c r="E2757"/>
      <c r="F2757"/>
    </row>
    <row r="2758" spans="1:6">
      <c r="A2758"/>
      <c r="B2758"/>
      <c r="C2758"/>
      <c r="D2758"/>
      <c r="E2758"/>
      <c r="F2758"/>
    </row>
    <row r="2759" spans="1:6">
      <c r="A2759"/>
      <c r="B2759"/>
      <c r="C2759"/>
      <c r="D2759"/>
      <c r="E2759"/>
      <c r="F2759"/>
    </row>
    <row r="2760" spans="1:6">
      <c r="A2760"/>
      <c r="B2760"/>
      <c r="C2760"/>
      <c r="D2760"/>
      <c r="E2760"/>
      <c r="F2760"/>
    </row>
    <row r="2761" spans="1:6">
      <c r="A2761"/>
      <c r="B2761"/>
      <c r="C2761"/>
      <c r="D2761"/>
      <c r="E2761"/>
      <c r="F2761"/>
    </row>
    <row r="2762" spans="1:6">
      <c r="A2762"/>
      <c r="B2762"/>
      <c r="C2762"/>
      <c r="D2762"/>
      <c r="E2762"/>
      <c r="F2762"/>
    </row>
    <row r="2763" spans="1:6">
      <c r="A2763"/>
      <c r="B2763"/>
      <c r="C2763"/>
      <c r="D2763"/>
      <c r="E2763"/>
      <c r="F2763"/>
    </row>
    <row r="2764" spans="1:6">
      <c r="A2764"/>
      <c r="B2764"/>
      <c r="C2764"/>
      <c r="D2764"/>
      <c r="E2764"/>
      <c r="F2764"/>
    </row>
    <row r="2765" spans="1:6">
      <c r="A2765"/>
      <c r="B2765"/>
      <c r="C2765"/>
      <c r="D2765"/>
      <c r="E2765"/>
      <c r="F2765"/>
    </row>
    <row r="2766" spans="1:6">
      <c r="A2766"/>
      <c r="B2766"/>
      <c r="C2766"/>
      <c r="D2766"/>
      <c r="E2766"/>
      <c r="F2766"/>
    </row>
    <row r="2767" spans="1:6">
      <c r="A2767"/>
      <c r="B2767"/>
      <c r="C2767"/>
      <c r="D2767"/>
      <c r="E2767"/>
      <c r="F2767"/>
    </row>
    <row r="2768" spans="1:6">
      <c r="A2768"/>
      <c r="B2768"/>
      <c r="C2768"/>
      <c r="D2768"/>
      <c r="E2768"/>
      <c r="F2768"/>
    </row>
    <row r="2769" spans="1:6">
      <c r="A2769"/>
      <c r="B2769"/>
      <c r="C2769"/>
      <c r="D2769"/>
      <c r="E2769"/>
      <c r="F2769"/>
    </row>
    <row r="2770" spans="1:6">
      <c r="A2770"/>
      <c r="B2770"/>
      <c r="C2770"/>
      <c r="D2770"/>
      <c r="E2770"/>
      <c r="F2770"/>
    </row>
    <row r="2771" spans="1:6">
      <c r="A2771"/>
      <c r="B2771"/>
      <c r="C2771"/>
      <c r="D2771"/>
      <c r="E2771"/>
      <c r="F2771"/>
    </row>
    <row r="2772" spans="1:6">
      <c r="A2772"/>
      <c r="B2772"/>
      <c r="C2772"/>
      <c r="D2772"/>
      <c r="E2772"/>
      <c r="F2772"/>
    </row>
    <row r="2773" spans="1:6">
      <c r="A2773"/>
      <c r="B2773"/>
      <c r="C2773"/>
      <c r="D2773"/>
      <c r="E2773"/>
      <c r="F2773"/>
    </row>
    <row r="2774" spans="1:6">
      <c r="A2774"/>
      <c r="B2774"/>
      <c r="C2774"/>
      <c r="D2774"/>
      <c r="E2774"/>
      <c r="F2774"/>
    </row>
    <row r="2775" spans="1:6">
      <c r="A2775"/>
      <c r="B2775"/>
      <c r="C2775"/>
      <c r="D2775"/>
      <c r="E2775"/>
      <c r="F2775"/>
    </row>
    <row r="2776" spans="1:6">
      <c r="A2776"/>
      <c r="B2776"/>
      <c r="C2776"/>
      <c r="D2776"/>
      <c r="E2776"/>
      <c r="F2776"/>
    </row>
    <row r="2777" spans="1:6">
      <c r="A2777"/>
      <c r="B2777"/>
      <c r="C2777"/>
      <c r="D2777"/>
      <c r="E2777"/>
      <c r="F2777"/>
    </row>
    <row r="2778" spans="1:6">
      <c r="A2778"/>
      <c r="B2778"/>
      <c r="C2778"/>
      <c r="D2778"/>
      <c r="E2778"/>
      <c r="F2778"/>
    </row>
    <row r="2779" spans="1:6">
      <c r="A2779"/>
      <c r="B2779"/>
      <c r="C2779"/>
      <c r="D2779"/>
      <c r="E2779"/>
      <c r="F2779"/>
    </row>
    <row r="2780" spans="1:6">
      <c r="A2780"/>
      <c r="B2780"/>
      <c r="C2780"/>
      <c r="D2780"/>
      <c r="E2780"/>
      <c r="F2780"/>
    </row>
    <row r="2781" spans="1:6">
      <c r="A2781"/>
      <c r="B2781"/>
      <c r="C2781"/>
      <c r="D2781"/>
      <c r="E2781"/>
      <c r="F2781"/>
    </row>
    <row r="2782" spans="1:6">
      <c r="A2782"/>
      <c r="B2782"/>
      <c r="C2782"/>
      <c r="D2782"/>
      <c r="E2782"/>
      <c r="F2782"/>
    </row>
    <row r="2783" spans="1:6">
      <c r="A2783"/>
      <c r="B2783"/>
      <c r="C2783"/>
      <c r="D2783"/>
      <c r="E2783"/>
      <c r="F2783"/>
    </row>
    <row r="2784" spans="1:6">
      <c r="A2784"/>
      <c r="B2784"/>
      <c r="C2784"/>
      <c r="D2784"/>
      <c r="E2784"/>
      <c r="F2784"/>
    </row>
    <row r="2785" spans="1:6">
      <c r="A2785"/>
      <c r="B2785"/>
      <c r="C2785"/>
      <c r="D2785"/>
      <c r="E2785"/>
      <c r="F2785"/>
    </row>
    <row r="2786" spans="1:6">
      <c r="A2786"/>
      <c r="B2786"/>
      <c r="C2786"/>
      <c r="D2786"/>
      <c r="E2786"/>
      <c r="F2786"/>
    </row>
    <row r="2787" spans="1:6">
      <c r="A2787"/>
      <c r="B2787"/>
      <c r="C2787"/>
      <c r="D2787"/>
      <c r="E2787"/>
      <c r="F2787"/>
    </row>
    <row r="2788" spans="1:6">
      <c r="A2788"/>
      <c r="B2788"/>
      <c r="C2788"/>
      <c r="D2788"/>
      <c r="E2788"/>
      <c r="F2788"/>
    </row>
    <row r="2789" spans="1:6">
      <c r="A2789"/>
      <c r="B2789"/>
      <c r="C2789"/>
      <c r="D2789"/>
      <c r="E2789"/>
      <c r="F2789"/>
    </row>
    <row r="2790" spans="1:6">
      <c r="A2790"/>
      <c r="B2790"/>
      <c r="C2790"/>
      <c r="D2790"/>
      <c r="E2790"/>
      <c r="F2790"/>
    </row>
    <row r="2791" spans="1:6">
      <c r="A2791"/>
      <c r="B2791"/>
      <c r="C2791"/>
      <c r="D2791"/>
      <c r="E2791"/>
      <c r="F2791"/>
    </row>
    <row r="2792" spans="1:6">
      <c r="A2792"/>
      <c r="B2792"/>
      <c r="C2792"/>
      <c r="D2792"/>
      <c r="E2792"/>
      <c r="F2792"/>
    </row>
    <row r="2793" spans="1:6">
      <c r="A2793"/>
      <c r="B2793"/>
      <c r="C2793"/>
      <c r="D2793"/>
      <c r="E2793"/>
      <c r="F2793"/>
    </row>
    <row r="2794" spans="1:6">
      <c r="A2794"/>
      <c r="B2794"/>
      <c r="C2794"/>
      <c r="D2794"/>
      <c r="E2794"/>
      <c r="F2794"/>
    </row>
    <row r="2795" spans="1:6">
      <c r="A2795"/>
      <c r="B2795"/>
      <c r="C2795"/>
      <c r="D2795"/>
      <c r="E2795"/>
      <c r="F2795"/>
    </row>
    <row r="2796" spans="1:6">
      <c r="A2796"/>
      <c r="B2796"/>
      <c r="C2796"/>
      <c r="D2796"/>
      <c r="E2796"/>
      <c r="F2796"/>
    </row>
    <row r="2797" spans="1:6">
      <c r="A2797"/>
      <c r="B2797"/>
      <c r="C2797"/>
      <c r="D2797"/>
      <c r="E2797"/>
      <c r="F2797"/>
    </row>
    <row r="2798" spans="1:6">
      <c r="A2798"/>
      <c r="B2798"/>
      <c r="C2798"/>
      <c r="D2798"/>
      <c r="E2798"/>
      <c r="F2798"/>
    </row>
    <row r="2799" spans="1:6">
      <c r="A2799"/>
      <c r="B2799"/>
      <c r="C2799"/>
      <c r="D2799"/>
      <c r="E2799"/>
      <c r="F2799"/>
    </row>
    <row r="2800" spans="1:6">
      <c r="A2800"/>
      <c r="B2800"/>
      <c r="C2800"/>
      <c r="D2800"/>
      <c r="E2800"/>
      <c r="F2800"/>
    </row>
    <row r="2801" spans="1:6">
      <c r="A2801"/>
      <c r="B2801"/>
      <c r="C2801"/>
      <c r="D2801"/>
      <c r="E2801"/>
      <c r="F2801"/>
    </row>
    <row r="2802" spans="1:6">
      <c r="A2802"/>
      <c r="B2802"/>
      <c r="C2802"/>
      <c r="D2802"/>
      <c r="E2802"/>
      <c r="F2802"/>
    </row>
    <row r="2803" spans="1:6">
      <c r="A2803"/>
      <c r="B2803"/>
      <c r="C2803"/>
      <c r="D2803"/>
      <c r="E2803"/>
      <c r="F2803"/>
    </row>
    <row r="2804" spans="1:6">
      <c r="A2804"/>
      <c r="B2804"/>
      <c r="C2804"/>
      <c r="D2804"/>
      <c r="E2804"/>
      <c r="F2804"/>
    </row>
    <row r="2805" spans="1:6">
      <c r="A2805"/>
      <c r="B2805"/>
      <c r="C2805"/>
      <c r="D2805"/>
      <c r="E2805"/>
      <c r="F2805"/>
    </row>
    <row r="2806" spans="1:6">
      <c r="A2806"/>
      <c r="B2806"/>
      <c r="C2806"/>
      <c r="D2806"/>
      <c r="E2806"/>
      <c r="F2806"/>
    </row>
    <row r="2807" spans="1:6">
      <c r="A2807"/>
      <c r="B2807"/>
      <c r="C2807"/>
      <c r="D2807"/>
      <c r="E2807"/>
      <c r="F2807"/>
    </row>
    <row r="2808" spans="1:6">
      <c r="A2808"/>
      <c r="B2808"/>
      <c r="C2808"/>
      <c r="D2808"/>
      <c r="E2808"/>
      <c r="F2808"/>
    </row>
    <row r="2809" spans="1:6">
      <c r="A2809"/>
      <c r="B2809"/>
      <c r="C2809"/>
      <c r="D2809"/>
      <c r="E2809"/>
      <c r="F2809"/>
    </row>
    <row r="2810" spans="1:6">
      <c r="A2810"/>
      <c r="B2810"/>
      <c r="C2810"/>
      <c r="D2810"/>
      <c r="E2810"/>
      <c r="F2810"/>
    </row>
    <row r="2811" spans="1:6">
      <c r="A2811"/>
      <c r="B2811"/>
      <c r="C2811"/>
      <c r="D2811"/>
      <c r="E2811"/>
      <c r="F2811"/>
    </row>
    <row r="2812" spans="1:6">
      <c r="A2812"/>
      <c r="B2812"/>
      <c r="C2812"/>
      <c r="D2812"/>
      <c r="E2812"/>
      <c r="F2812"/>
    </row>
    <row r="2813" spans="1:6">
      <c r="A2813"/>
      <c r="B2813"/>
      <c r="C2813"/>
      <c r="D2813"/>
      <c r="E2813"/>
      <c r="F2813"/>
    </row>
    <row r="2814" spans="1:6">
      <c r="A2814"/>
      <c r="B2814"/>
      <c r="C2814"/>
      <c r="D2814"/>
      <c r="E2814"/>
      <c r="F2814"/>
    </row>
    <row r="2815" spans="1:6">
      <c r="A2815"/>
      <c r="B2815"/>
      <c r="C2815"/>
      <c r="D2815"/>
      <c r="E2815"/>
      <c r="F2815"/>
    </row>
    <row r="2816" spans="1:6">
      <c r="A2816"/>
      <c r="B2816"/>
      <c r="C2816"/>
      <c r="D2816"/>
      <c r="E2816"/>
      <c r="F2816"/>
    </row>
    <row r="2817" spans="1:6">
      <c r="A2817"/>
      <c r="B2817"/>
      <c r="C2817"/>
      <c r="D2817"/>
      <c r="E2817"/>
      <c r="F2817"/>
    </row>
    <row r="2818" spans="1:6">
      <c r="A2818"/>
      <c r="B2818"/>
      <c r="C2818"/>
      <c r="D2818"/>
      <c r="E2818"/>
      <c r="F2818"/>
    </row>
    <row r="2819" spans="1:6">
      <c r="A2819"/>
      <c r="B2819"/>
      <c r="C2819"/>
      <c r="D2819"/>
      <c r="E2819"/>
      <c r="F2819"/>
    </row>
    <row r="2820" spans="1:6">
      <c r="A2820"/>
      <c r="B2820"/>
      <c r="C2820"/>
      <c r="D2820"/>
      <c r="E2820"/>
      <c r="F2820"/>
    </row>
    <row r="2821" spans="1:6">
      <c r="A2821"/>
      <c r="B2821"/>
      <c r="C2821"/>
      <c r="D2821"/>
      <c r="E2821"/>
      <c r="F2821"/>
    </row>
    <row r="2822" spans="1:6">
      <c r="A2822"/>
      <c r="B2822"/>
      <c r="C2822"/>
      <c r="D2822"/>
      <c r="E2822"/>
      <c r="F2822"/>
    </row>
    <row r="2823" spans="1:6">
      <c r="A2823"/>
      <c r="B2823"/>
      <c r="C2823"/>
      <c r="D2823"/>
      <c r="E2823"/>
      <c r="F2823"/>
    </row>
    <row r="2824" spans="1:6">
      <c r="A2824"/>
      <c r="B2824"/>
      <c r="C2824"/>
      <c r="D2824"/>
      <c r="E2824"/>
      <c r="F2824"/>
    </row>
    <row r="2825" spans="1:6">
      <c r="A2825"/>
      <c r="B2825"/>
      <c r="C2825"/>
      <c r="D2825"/>
      <c r="E2825"/>
      <c r="F2825"/>
    </row>
    <row r="2826" spans="1:6">
      <c r="A2826"/>
      <c r="B2826"/>
      <c r="C2826"/>
      <c r="D2826"/>
      <c r="E2826"/>
      <c r="F2826"/>
    </row>
    <row r="2827" spans="1:6">
      <c r="A2827"/>
      <c r="B2827"/>
      <c r="C2827"/>
      <c r="D2827"/>
      <c r="E2827"/>
      <c r="F2827"/>
    </row>
    <row r="2828" spans="1:6">
      <c r="A2828"/>
      <c r="B2828"/>
      <c r="C2828"/>
      <c r="D2828"/>
      <c r="E2828"/>
      <c r="F2828"/>
    </row>
    <row r="2829" spans="1:6">
      <c r="A2829"/>
      <c r="B2829"/>
      <c r="C2829"/>
      <c r="D2829"/>
      <c r="E2829"/>
      <c r="F2829"/>
    </row>
    <row r="2830" spans="1:6">
      <c r="A2830"/>
      <c r="B2830"/>
      <c r="C2830"/>
      <c r="D2830"/>
      <c r="E2830"/>
      <c r="F2830"/>
    </row>
    <row r="2831" spans="1:6">
      <c r="A2831"/>
      <c r="B2831"/>
      <c r="C2831"/>
      <c r="D2831"/>
      <c r="E2831"/>
      <c r="F2831"/>
    </row>
    <row r="2832" spans="1:6">
      <c r="A2832"/>
      <c r="B2832"/>
      <c r="C2832"/>
      <c r="D2832"/>
      <c r="E2832"/>
      <c r="F2832"/>
    </row>
    <row r="2833" spans="1:6">
      <c r="A2833"/>
      <c r="B2833"/>
      <c r="C2833"/>
      <c r="D2833"/>
      <c r="E2833"/>
      <c r="F2833"/>
    </row>
    <row r="2834" spans="1:6">
      <c r="A2834"/>
      <c r="B2834"/>
      <c r="C2834"/>
      <c r="D2834"/>
      <c r="E2834"/>
      <c r="F2834"/>
    </row>
    <row r="2835" spans="1:6">
      <c r="A2835"/>
      <c r="B2835"/>
      <c r="C2835"/>
      <c r="D2835"/>
      <c r="E2835"/>
      <c r="F2835"/>
    </row>
    <row r="2836" spans="1:6">
      <c r="A2836"/>
      <c r="B2836"/>
      <c r="C2836"/>
      <c r="D2836"/>
      <c r="E2836"/>
      <c r="F2836"/>
    </row>
    <row r="2837" spans="1:6">
      <c r="A2837"/>
      <c r="B2837"/>
      <c r="C2837"/>
      <c r="D2837"/>
      <c r="E2837"/>
      <c r="F2837"/>
    </row>
    <row r="2838" spans="1:6">
      <c r="A2838"/>
      <c r="B2838"/>
      <c r="C2838"/>
      <c r="D2838"/>
      <c r="E2838"/>
      <c r="F2838"/>
    </row>
    <row r="2839" spans="1:6">
      <c r="A2839"/>
      <c r="B2839"/>
      <c r="C2839"/>
      <c r="D2839"/>
      <c r="E2839"/>
      <c r="F2839"/>
    </row>
    <row r="2840" spans="1:6">
      <c r="A2840"/>
      <c r="B2840"/>
      <c r="C2840"/>
      <c r="D2840"/>
      <c r="E2840"/>
      <c r="F2840"/>
    </row>
    <row r="2841" spans="1:6">
      <c r="A2841"/>
      <c r="B2841"/>
      <c r="C2841"/>
      <c r="D2841"/>
      <c r="E2841"/>
      <c r="F2841"/>
    </row>
    <row r="2842" spans="1:6">
      <c r="A2842"/>
      <c r="B2842"/>
      <c r="C2842"/>
      <c r="D2842"/>
      <c r="E2842"/>
      <c r="F2842"/>
    </row>
    <row r="2843" spans="1:6">
      <c r="A2843"/>
      <c r="B2843"/>
      <c r="C2843"/>
      <c r="D2843"/>
      <c r="E2843"/>
      <c r="F2843"/>
    </row>
    <row r="2844" spans="1:6">
      <c r="A2844"/>
      <c r="B2844"/>
      <c r="C2844"/>
      <c r="D2844"/>
      <c r="E2844"/>
      <c r="F2844"/>
    </row>
    <row r="2845" spans="1:6">
      <c r="A2845"/>
      <c r="B2845"/>
      <c r="C2845"/>
      <c r="D2845"/>
      <c r="E2845"/>
      <c r="F2845"/>
    </row>
    <row r="2846" spans="1:6">
      <c r="A2846"/>
      <c r="B2846"/>
      <c r="C2846"/>
      <c r="D2846"/>
      <c r="E2846"/>
      <c r="F2846"/>
    </row>
    <row r="2847" spans="1:6">
      <c r="A2847"/>
      <c r="B2847"/>
      <c r="C2847"/>
      <c r="D2847"/>
      <c r="E2847"/>
      <c r="F2847"/>
    </row>
    <row r="2848" spans="1:6">
      <c r="A2848"/>
      <c r="B2848"/>
      <c r="C2848"/>
      <c r="D2848"/>
      <c r="E2848"/>
      <c r="F2848"/>
    </row>
    <row r="2849" spans="1:6">
      <c r="A2849"/>
      <c r="B2849"/>
      <c r="C2849"/>
      <c r="D2849"/>
      <c r="E2849"/>
      <c r="F2849"/>
    </row>
    <row r="2850" spans="1:6">
      <c r="A2850"/>
      <c r="B2850"/>
      <c r="C2850"/>
      <c r="D2850"/>
      <c r="E2850"/>
      <c r="F2850"/>
    </row>
    <row r="2851" spans="1:6">
      <c r="A2851"/>
      <c r="B2851"/>
      <c r="C2851"/>
      <c r="D2851"/>
      <c r="E2851"/>
      <c r="F2851"/>
    </row>
    <row r="2852" spans="1:6">
      <c r="A2852"/>
      <c r="B2852"/>
      <c r="C2852"/>
      <c r="D2852"/>
      <c r="E2852"/>
      <c r="F2852"/>
    </row>
    <row r="2853" spans="1:6">
      <c r="A2853"/>
      <c r="B2853"/>
      <c r="C2853"/>
      <c r="D2853"/>
      <c r="E2853"/>
      <c r="F2853"/>
    </row>
    <row r="2854" spans="1:6">
      <c r="A2854"/>
      <c r="B2854"/>
      <c r="C2854"/>
      <c r="D2854"/>
      <c r="E2854"/>
      <c r="F2854"/>
    </row>
    <row r="2855" spans="1:6">
      <c r="A2855"/>
      <c r="B2855"/>
      <c r="C2855"/>
      <c r="D2855"/>
      <c r="E2855"/>
      <c r="F2855"/>
    </row>
    <row r="2856" spans="1:6">
      <c r="A2856"/>
      <c r="B2856"/>
      <c r="C2856"/>
      <c r="D2856"/>
      <c r="E2856"/>
      <c r="F2856"/>
    </row>
    <row r="2857" spans="1:6">
      <c r="A2857"/>
      <c r="B2857"/>
      <c r="C2857"/>
      <c r="D2857"/>
      <c r="E2857"/>
      <c r="F2857"/>
    </row>
    <row r="2858" spans="1:6">
      <c r="A2858"/>
      <c r="B2858"/>
      <c r="C2858"/>
      <c r="D2858"/>
      <c r="E2858"/>
      <c r="F2858"/>
    </row>
    <row r="2859" spans="1:6">
      <c r="A2859"/>
      <c r="B2859"/>
      <c r="C2859"/>
      <c r="D2859"/>
      <c r="E2859"/>
      <c r="F2859"/>
    </row>
    <row r="2860" spans="1:6">
      <c r="A2860"/>
      <c r="B2860"/>
      <c r="C2860"/>
      <c r="D2860"/>
      <c r="E2860"/>
      <c r="F2860"/>
    </row>
    <row r="2861" spans="1:6">
      <c r="A2861"/>
      <c r="B2861"/>
      <c r="C2861"/>
      <c r="D2861"/>
      <c r="E2861"/>
      <c r="F2861"/>
    </row>
    <row r="2862" spans="1:6">
      <c r="A2862"/>
      <c r="B2862"/>
      <c r="C2862"/>
      <c r="D2862"/>
      <c r="E2862"/>
      <c r="F2862"/>
    </row>
    <row r="2863" spans="1:6">
      <c r="A2863"/>
      <c r="B2863"/>
      <c r="C2863"/>
      <c r="D2863"/>
      <c r="E2863"/>
      <c r="F2863"/>
    </row>
    <row r="2864" spans="1:6">
      <c r="A2864"/>
      <c r="B2864"/>
      <c r="C2864"/>
      <c r="D2864"/>
      <c r="E2864"/>
      <c r="F2864"/>
    </row>
    <row r="2865" spans="1:6">
      <c r="A2865"/>
      <c r="B2865"/>
      <c r="C2865"/>
      <c r="D2865"/>
      <c r="E2865"/>
      <c r="F2865"/>
    </row>
    <row r="2866" spans="1:6">
      <c r="A2866"/>
      <c r="B2866"/>
      <c r="C2866"/>
      <c r="D2866"/>
      <c r="E2866"/>
      <c r="F2866"/>
    </row>
    <row r="2867" spans="1:6">
      <c r="A2867"/>
      <c r="B2867"/>
      <c r="C2867"/>
      <c r="D2867"/>
      <c r="E2867"/>
      <c r="F2867"/>
    </row>
    <row r="2868" spans="1:6">
      <c r="A2868"/>
      <c r="B2868"/>
      <c r="C2868"/>
      <c r="D2868"/>
      <c r="E2868"/>
      <c r="F2868"/>
    </row>
    <row r="2869" spans="1:6">
      <c r="A2869"/>
      <c r="B2869"/>
      <c r="C2869"/>
      <c r="D2869"/>
      <c r="E2869"/>
      <c r="F2869"/>
    </row>
    <row r="2870" spans="1:6">
      <c r="A2870"/>
      <c r="B2870"/>
      <c r="C2870"/>
      <c r="D2870"/>
      <c r="E2870"/>
      <c r="F2870"/>
    </row>
    <row r="2871" spans="1:6">
      <c r="A2871"/>
      <c r="B2871"/>
      <c r="C2871"/>
      <c r="D2871"/>
      <c r="E2871"/>
      <c r="F2871"/>
    </row>
    <row r="2872" spans="1:6">
      <c r="A2872"/>
      <c r="B2872"/>
      <c r="C2872"/>
      <c r="D2872"/>
      <c r="E2872"/>
      <c r="F2872"/>
    </row>
    <row r="2873" spans="1:6">
      <c r="A2873"/>
      <c r="B2873"/>
      <c r="C2873"/>
      <c r="D2873"/>
      <c r="E2873"/>
      <c r="F2873"/>
    </row>
    <row r="2874" spans="1:6">
      <c r="A2874"/>
      <c r="B2874"/>
      <c r="C2874"/>
      <c r="D2874"/>
      <c r="E2874"/>
      <c r="F2874"/>
    </row>
    <row r="2875" spans="1:6">
      <c r="A2875"/>
      <c r="B2875"/>
      <c r="C2875"/>
      <c r="D2875"/>
      <c r="E2875"/>
      <c r="F2875"/>
    </row>
    <row r="2876" spans="1:6">
      <c r="A2876"/>
      <c r="B2876"/>
      <c r="C2876"/>
      <c r="D2876"/>
      <c r="E2876"/>
      <c r="F2876"/>
    </row>
    <row r="2877" spans="1:6">
      <c r="A2877"/>
      <c r="B2877"/>
      <c r="C2877"/>
      <c r="D2877"/>
      <c r="E2877"/>
      <c r="F2877"/>
    </row>
    <row r="2878" spans="1:6">
      <c r="A2878"/>
      <c r="B2878"/>
      <c r="C2878"/>
      <c r="D2878"/>
      <c r="E2878"/>
      <c r="F2878"/>
    </row>
    <row r="2879" spans="1:6">
      <c r="A2879"/>
      <c r="B2879"/>
      <c r="C2879"/>
      <c r="D2879"/>
      <c r="E2879"/>
      <c r="F2879"/>
    </row>
    <row r="2880" spans="1:6">
      <c r="A2880"/>
      <c r="B2880"/>
      <c r="C2880"/>
      <c r="D2880"/>
      <c r="E2880"/>
      <c r="F2880"/>
    </row>
    <row r="2881" spans="1:6">
      <c r="A2881"/>
      <c r="B2881"/>
      <c r="C2881"/>
      <c r="D2881"/>
      <c r="E2881"/>
      <c r="F2881"/>
    </row>
    <row r="2882" spans="1:6">
      <c r="A2882"/>
      <c r="B2882"/>
      <c r="C2882"/>
      <c r="D2882"/>
      <c r="E2882"/>
      <c r="F2882"/>
    </row>
    <row r="2883" spans="1:6">
      <c r="A2883"/>
      <c r="B2883"/>
      <c r="C2883"/>
      <c r="D2883"/>
      <c r="E2883"/>
      <c r="F2883"/>
    </row>
    <row r="2884" spans="1:6">
      <c r="A2884"/>
      <c r="B2884"/>
      <c r="C2884"/>
      <c r="D2884"/>
      <c r="E2884"/>
      <c r="F2884"/>
    </row>
    <row r="2885" spans="1:6">
      <c r="A2885"/>
      <c r="B2885"/>
      <c r="C2885"/>
      <c r="D2885"/>
      <c r="E2885"/>
      <c r="F2885"/>
    </row>
    <row r="2886" spans="1:6">
      <c r="A2886"/>
      <c r="B2886"/>
      <c r="C2886"/>
      <c r="D2886"/>
      <c r="E2886"/>
      <c r="F2886"/>
    </row>
    <row r="2887" spans="1:6">
      <c r="A2887"/>
      <c r="B2887"/>
      <c r="C2887"/>
      <c r="D2887"/>
      <c r="E2887"/>
      <c r="F2887"/>
    </row>
    <row r="2888" spans="1:6">
      <c r="A2888"/>
      <c r="B2888"/>
      <c r="C2888"/>
      <c r="D2888"/>
      <c r="E2888"/>
      <c r="F2888"/>
    </row>
    <row r="2889" spans="1:6">
      <c r="A2889"/>
      <c r="B2889"/>
      <c r="C2889"/>
      <c r="D2889"/>
      <c r="E2889"/>
      <c r="F2889"/>
    </row>
    <row r="2890" spans="1:6">
      <c r="A2890"/>
      <c r="B2890"/>
      <c r="C2890"/>
      <c r="D2890"/>
      <c r="E2890"/>
      <c r="F2890"/>
    </row>
    <row r="2891" spans="1:6">
      <c r="A2891"/>
      <c r="B2891"/>
      <c r="C2891"/>
      <c r="D2891"/>
      <c r="E2891"/>
      <c r="F2891"/>
    </row>
    <row r="2892" spans="1:6">
      <c r="A2892"/>
      <c r="B2892"/>
      <c r="C2892"/>
      <c r="D2892"/>
      <c r="E2892"/>
      <c r="F2892"/>
    </row>
    <row r="2893" spans="1:6">
      <c r="A2893"/>
      <c r="B2893"/>
      <c r="C2893"/>
      <c r="D2893"/>
      <c r="E2893"/>
      <c r="F2893"/>
    </row>
    <row r="2894" spans="1:6">
      <c r="A2894"/>
      <c r="B2894"/>
      <c r="C2894"/>
      <c r="D2894"/>
      <c r="E2894"/>
      <c r="F2894"/>
    </row>
    <row r="2895" spans="1:6">
      <c r="A2895"/>
      <c r="B2895"/>
      <c r="C2895"/>
      <c r="D2895"/>
      <c r="E2895"/>
      <c r="F2895"/>
    </row>
    <row r="2896" spans="1:6">
      <c r="A2896"/>
      <c r="B2896"/>
      <c r="C2896"/>
      <c r="D2896"/>
      <c r="E2896"/>
      <c r="F2896"/>
    </row>
    <row r="2897" spans="1:6">
      <c r="A2897"/>
      <c r="B2897"/>
      <c r="C2897"/>
      <c r="D2897"/>
      <c r="E2897"/>
      <c r="F2897"/>
    </row>
    <row r="2898" spans="1:6">
      <c r="A2898"/>
      <c r="B2898"/>
      <c r="C2898"/>
      <c r="D2898"/>
      <c r="E2898"/>
      <c r="F2898"/>
    </row>
    <row r="2899" spans="1:6">
      <c r="A2899"/>
      <c r="B2899"/>
      <c r="C2899"/>
      <c r="D2899"/>
      <c r="E2899"/>
      <c r="F2899"/>
    </row>
    <row r="2900" spans="1:6">
      <c r="A2900"/>
      <c r="B2900"/>
      <c r="C2900"/>
      <c r="D2900"/>
      <c r="E2900"/>
      <c r="F2900"/>
    </row>
    <row r="2901" spans="1:6">
      <c r="A2901"/>
      <c r="B2901"/>
      <c r="C2901"/>
      <c r="D2901"/>
      <c r="E2901"/>
      <c r="F2901"/>
    </row>
    <row r="2902" spans="1:6">
      <c r="A2902"/>
      <c r="B2902"/>
      <c r="C2902"/>
      <c r="D2902"/>
      <c r="E2902"/>
      <c r="F2902"/>
    </row>
    <row r="2903" spans="1:6">
      <c r="A2903"/>
      <c r="B2903"/>
      <c r="C2903"/>
      <c r="D2903"/>
      <c r="E2903"/>
      <c r="F2903"/>
    </row>
    <row r="2904" spans="1:6">
      <c r="A2904"/>
      <c r="B2904"/>
      <c r="C2904"/>
      <c r="D2904"/>
      <c r="E2904"/>
      <c r="F2904"/>
    </row>
    <row r="2905" spans="1:6">
      <c r="A2905"/>
      <c r="B2905"/>
      <c r="C2905"/>
      <c r="D2905"/>
      <c r="E2905"/>
      <c r="F2905"/>
    </row>
    <row r="2906" spans="1:6">
      <c r="A2906"/>
      <c r="B2906"/>
      <c r="C2906"/>
      <c r="D2906"/>
      <c r="E2906"/>
      <c r="F2906"/>
    </row>
    <row r="2907" spans="1:6">
      <c r="A2907"/>
      <c r="B2907"/>
      <c r="C2907"/>
      <c r="D2907"/>
      <c r="E2907"/>
      <c r="F2907"/>
    </row>
    <row r="2908" spans="1:6">
      <c r="A2908"/>
      <c r="B2908"/>
      <c r="C2908"/>
      <c r="D2908"/>
      <c r="E2908"/>
      <c r="F2908"/>
    </row>
    <row r="2909" spans="1:6">
      <c r="A2909"/>
      <c r="B2909"/>
      <c r="C2909"/>
      <c r="D2909"/>
      <c r="E2909"/>
      <c r="F2909"/>
    </row>
    <row r="2910" spans="1:6">
      <c r="A2910"/>
      <c r="B2910"/>
      <c r="C2910"/>
      <c r="D2910"/>
      <c r="E2910"/>
      <c r="F2910"/>
    </row>
    <row r="2911" spans="1:6">
      <c r="A2911"/>
      <c r="B2911"/>
      <c r="C2911"/>
      <c r="D2911"/>
      <c r="E2911"/>
      <c r="F2911"/>
    </row>
    <row r="2912" spans="1:6">
      <c r="A2912"/>
      <c r="B2912"/>
      <c r="C2912"/>
      <c r="D2912"/>
      <c r="E2912"/>
      <c r="F2912"/>
    </row>
    <row r="2913" spans="1:6">
      <c r="A2913"/>
      <c r="B2913"/>
      <c r="C2913"/>
      <c r="D2913"/>
      <c r="E2913"/>
      <c r="F2913"/>
    </row>
    <row r="2914" spans="1:6">
      <c r="A2914"/>
      <c r="B2914"/>
      <c r="C2914"/>
      <c r="D2914"/>
      <c r="E2914"/>
      <c r="F2914"/>
    </row>
    <row r="2915" spans="1:6">
      <c r="A2915"/>
      <c r="B2915"/>
      <c r="C2915"/>
      <c r="D2915"/>
      <c r="E2915"/>
      <c r="F2915"/>
    </row>
    <row r="2916" spans="1:6">
      <c r="A2916"/>
      <c r="B2916"/>
      <c r="C2916"/>
      <c r="D2916"/>
      <c r="E2916"/>
      <c r="F2916"/>
    </row>
    <row r="2917" spans="1:6">
      <c r="A2917"/>
      <c r="B2917"/>
      <c r="C2917"/>
      <c r="D2917"/>
      <c r="E2917"/>
      <c r="F2917"/>
    </row>
    <row r="2918" spans="1:6">
      <c r="A2918"/>
      <c r="B2918"/>
      <c r="C2918"/>
      <c r="D2918"/>
      <c r="E2918"/>
      <c r="F2918"/>
    </row>
    <row r="2919" spans="1:6">
      <c r="A2919"/>
      <c r="B2919"/>
      <c r="C2919"/>
      <c r="D2919"/>
      <c r="E2919"/>
      <c r="F2919"/>
    </row>
    <row r="2920" spans="1:6">
      <c r="A2920"/>
      <c r="B2920"/>
      <c r="C2920"/>
      <c r="D2920"/>
      <c r="E2920"/>
      <c r="F2920"/>
    </row>
    <row r="2921" spans="1:6">
      <c r="A2921"/>
      <c r="B2921"/>
      <c r="C2921"/>
      <c r="D2921"/>
      <c r="E2921"/>
      <c r="F2921"/>
    </row>
    <row r="2922" spans="1:6">
      <c r="A2922"/>
      <c r="B2922"/>
      <c r="C2922"/>
      <c r="D2922"/>
      <c r="E2922"/>
      <c r="F2922"/>
    </row>
    <row r="2923" spans="1:6">
      <c r="A2923"/>
      <c r="B2923"/>
      <c r="C2923"/>
      <c r="D2923"/>
      <c r="E2923"/>
      <c r="F2923"/>
    </row>
    <row r="2924" spans="1:6">
      <c r="A2924"/>
      <c r="B2924"/>
      <c r="C2924"/>
      <c r="D2924"/>
      <c r="E2924"/>
      <c r="F2924"/>
    </row>
    <row r="2925" spans="1:6">
      <c r="A2925"/>
      <c r="B2925"/>
      <c r="C2925"/>
      <c r="D2925"/>
      <c r="E2925"/>
      <c r="F2925"/>
    </row>
    <row r="2926" spans="1:6">
      <c r="A2926"/>
      <c r="B2926"/>
      <c r="C2926"/>
      <c r="D2926"/>
      <c r="E2926"/>
      <c r="F2926"/>
    </row>
    <row r="2927" spans="1:6">
      <c r="A2927"/>
      <c r="B2927"/>
      <c r="C2927"/>
      <c r="D2927"/>
      <c r="E2927"/>
      <c r="F2927"/>
    </row>
    <row r="2928" spans="1:6">
      <c r="A2928"/>
      <c r="B2928"/>
      <c r="C2928"/>
      <c r="D2928"/>
      <c r="E2928"/>
      <c r="F2928"/>
    </row>
    <row r="2929" spans="1:6">
      <c r="A2929"/>
      <c r="B2929"/>
      <c r="C2929"/>
      <c r="D2929"/>
      <c r="E2929"/>
      <c r="F2929"/>
    </row>
    <row r="2930" spans="1:6">
      <c r="A2930"/>
      <c r="B2930"/>
      <c r="C2930"/>
      <c r="D2930"/>
      <c r="E2930"/>
      <c r="F2930"/>
    </row>
    <row r="2931" spans="1:6">
      <c r="A2931"/>
      <c r="B2931"/>
      <c r="C2931"/>
      <c r="D2931"/>
      <c r="E2931"/>
      <c r="F2931"/>
    </row>
    <row r="2932" spans="1:6">
      <c r="A2932"/>
      <c r="B2932"/>
      <c r="C2932"/>
      <c r="D2932"/>
      <c r="E2932"/>
      <c r="F2932"/>
    </row>
    <row r="2933" spans="1:6">
      <c r="A2933"/>
      <c r="B2933"/>
      <c r="C2933"/>
      <c r="D2933"/>
      <c r="E2933"/>
      <c r="F2933"/>
    </row>
    <row r="2934" spans="1:6">
      <c r="A2934"/>
      <c r="B2934"/>
      <c r="C2934"/>
      <c r="D2934"/>
      <c r="E2934"/>
      <c r="F2934"/>
    </row>
    <row r="2935" spans="1:6">
      <c r="A2935"/>
      <c r="B2935"/>
      <c r="C2935"/>
      <c r="D2935"/>
      <c r="E2935"/>
      <c r="F2935"/>
    </row>
    <row r="2936" spans="1:6">
      <c r="A2936"/>
      <c r="B2936"/>
      <c r="C2936"/>
      <c r="D2936"/>
      <c r="E2936"/>
      <c r="F2936"/>
    </row>
    <row r="2937" spans="1:6">
      <c r="A2937"/>
      <c r="B2937"/>
      <c r="C2937"/>
      <c r="D2937"/>
      <c r="E2937"/>
      <c r="F2937"/>
    </row>
    <row r="2938" spans="1:6">
      <c r="A2938"/>
      <c r="B2938"/>
      <c r="C2938"/>
      <c r="D2938"/>
      <c r="E2938"/>
      <c r="F2938"/>
    </row>
    <row r="2939" spans="1:6">
      <c r="A2939"/>
      <c r="B2939"/>
      <c r="C2939"/>
      <c r="D2939"/>
      <c r="E2939"/>
      <c r="F2939"/>
    </row>
    <row r="2940" spans="1:6">
      <c r="A2940"/>
      <c r="B2940"/>
      <c r="C2940"/>
      <c r="D2940"/>
      <c r="E2940"/>
      <c r="F2940"/>
    </row>
    <row r="2941" spans="1:6">
      <c r="A2941"/>
      <c r="B2941"/>
      <c r="C2941"/>
      <c r="D2941"/>
      <c r="E2941"/>
      <c r="F2941"/>
    </row>
    <row r="2942" spans="1:6">
      <c r="A2942"/>
      <c r="B2942"/>
      <c r="C2942"/>
      <c r="D2942"/>
      <c r="E2942"/>
      <c r="F2942"/>
    </row>
    <row r="2943" spans="1:6">
      <c r="A2943"/>
      <c r="B2943"/>
      <c r="C2943"/>
      <c r="D2943"/>
      <c r="E2943"/>
      <c r="F2943"/>
    </row>
    <row r="2944" spans="1:6">
      <c r="A2944"/>
      <c r="B2944"/>
      <c r="C2944"/>
      <c r="D2944"/>
      <c r="E2944"/>
      <c r="F2944"/>
    </row>
    <row r="2945" spans="1:6">
      <c r="A2945"/>
      <c r="B2945"/>
      <c r="C2945"/>
      <c r="D2945"/>
      <c r="E2945"/>
      <c r="F2945"/>
    </row>
    <row r="2946" spans="1:6">
      <c r="A2946"/>
      <c r="B2946"/>
      <c r="C2946"/>
      <c r="D2946"/>
      <c r="E2946"/>
      <c r="F2946"/>
    </row>
    <row r="2947" spans="1:6">
      <c r="A2947"/>
      <c r="B2947"/>
      <c r="C2947"/>
      <c r="D2947"/>
      <c r="E2947"/>
      <c r="F2947"/>
    </row>
    <row r="2948" spans="1:6">
      <c r="A2948"/>
      <c r="B2948"/>
      <c r="C2948"/>
      <c r="D2948"/>
      <c r="E2948"/>
      <c r="F2948"/>
    </row>
    <row r="2949" spans="1:6">
      <c r="A2949"/>
      <c r="B2949"/>
      <c r="C2949"/>
      <c r="D2949"/>
      <c r="E2949"/>
      <c r="F2949"/>
    </row>
    <row r="2950" spans="1:6">
      <c r="A2950"/>
      <c r="B2950"/>
      <c r="C2950"/>
      <c r="D2950"/>
      <c r="E2950"/>
      <c r="F2950"/>
    </row>
    <row r="2951" spans="1:6">
      <c r="A2951"/>
      <c r="B2951"/>
      <c r="C2951"/>
      <c r="D2951"/>
      <c r="E2951"/>
      <c r="F2951"/>
    </row>
    <row r="2952" spans="1:6">
      <c r="A2952"/>
      <c r="B2952"/>
      <c r="C2952"/>
      <c r="D2952"/>
      <c r="E2952"/>
      <c r="F2952"/>
    </row>
    <row r="2953" spans="1:6">
      <c r="A2953"/>
      <c r="B2953"/>
      <c r="C2953"/>
      <c r="D2953"/>
      <c r="E2953"/>
      <c r="F2953"/>
    </row>
    <row r="2954" spans="1:6">
      <c r="A2954"/>
      <c r="B2954"/>
      <c r="C2954"/>
      <c r="D2954"/>
      <c r="E2954"/>
      <c r="F2954"/>
    </row>
    <row r="2955" spans="1:6">
      <c r="A2955"/>
      <c r="B2955"/>
      <c r="C2955"/>
      <c r="D2955"/>
      <c r="E2955"/>
      <c r="F2955"/>
    </row>
    <row r="2956" spans="1:6">
      <c r="A2956"/>
      <c r="B2956"/>
      <c r="C2956"/>
      <c r="D2956"/>
      <c r="E2956"/>
      <c r="F2956"/>
    </row>
    <row r="2957" spans="1:6">
      <c r="A2957"/>
      <c r="B2957"/>
      <c r="C2957"/>
      <c r="D2957"/>
      <c r="E2957"/>
      <c r="F2957"/>
    </row>
    <row r="2958" spans="1:6">
      <c r="A2958"/>
      <c r="B2958"/>
      <c r="C2958"/>
      <c r="D2958"/>
      <c r="E2958"/>
      <c r="F2958"/>
    </row>
    <row r="2959" spans="1:6">
      <c r="A2959"/>
      <c r="B2959"/>
      <c r="C2959"/>
      <c r="D2959"/>
      <c r="E2959"/>
      <c r="F2959"/>
    </row>
    <row r="2960" spans="1:6">
      <c r="A2960"/>
      <c r="B2960"/>
      <c r="C2960"/>
      <c r="D2960"/>
      <c r="E2960"/>
      <c r="F2960"/>
    </row>
    <row r="2961" spans="1:6">
      <c r="A2961"/>
      <c r="B2961"/>
      <c r="C2961"/>
      <c r="D2961"/>
      <c r="E2961"/>
      <c r="F2961"/>
    </row>
    <row r="2962" spans="1:6">
      <c r="A2962"/>
      <c r="B2962"/>
      <c r="C2962"/>
      <c r="D2962"/>
      <c r="E2962"/>
      <c r="F2962"/>
    </row>
    <row r="2963" spans="1:6">
      <c r="A2963"/>
      <c r="B2963"/>
      <c r="C2963"/>
      <c r="D2963"/>
      <c r="E2963"/>
      <c r="F2963"/>
    </row>
    <row r="2964" spans="1:6">
      <c r="A2964"/>
      <c r="B2964"/>
      <c r="C2964"/>
      <c r="D2964"/>
      <c r="E2964"/>
      <c r="F2964"/>
    </row>
    <row r="2965" spans="1:6">
      <c r="A2965"/>
      <c r="B2965"/>
      <c r="C2965"/>
      <c r="D2965"/>
      <c r="E2965"/>
      <c r="F2965"/>
    </row>
    <row r="2966" spans="1:6">
      <c r="A2966"/>
      <c r="B2966"/>
      <c r="C2966"/>
      <c r="D2966"/>
      <c r="E2966"/>
      <c r="F2966"/>
    </row>
    <row r="2967" spans="1:6">
      <c r="A2967"/>
      <c r="B2967"/>
      <c r="C2967"/>
      <c r="D2967"/>
      <c r="E2967"/>
      <c r="F2967"/>
    </row>
    <row r="2968" spans="1:6">
      <c r="A2968"/>
      <c r="B2968"/>
      <c r="C2968"/>
      <c r="D2968"/>
      <c r="E2968"/>
      <c r="F2968"/>
    </row>
    <row r="2969" spans="1:6">
      <c r="A2969"/>
      <c r="B2969"/>
      <c r="C2969"/>
      <c r="D2969"/>
      <c r="E2969"/>
      <c r="F2969"/>
    </row>
    <row r="2970" spans="1:6">
      <c r="A2970"/>
      <c r="B2970"/>
      <c r="C2970"/>
      <c r="D2970"/>
      <c r="E2970"/>
      <c r="F2970"/>
    </row>
    <row r="2971" spans="1:6">
      <c r="A2971"/>
      <c r="B2971"/>
      <c r="C2971"/>
      <c r="D2971"/>
      <c r="E2971"/>
      <c r="F2971"/>
    </row>
    <row r="2972" spans="1:6">
      <c r="A2972"/>
      <c r="B2972"/>
      <c r="C2972"/>
      <c r="D2972"/>
      <c r="E2972"/>
      <c r="F2972"/>
    </row>
    <row r="2973" spans="1:6">
      <c r="A2973"/>
      <c r="B2973"/>
      <c r="C2973"/>
      <c r="D2973"/>
      <c r="E2973"/>
      <c r="F2973"/>
    </row>
    <row r="2974" spans="1:6">
      <c r="A2974"/>
      <c r="B2974"/>
      <c r="C2974"/>
      <c r="D2974"/>
      <c r="E2974"/>
      <c r="F2974"/>
    </row>
    <row r="2975" spans="1:6">
      <c r="A2975"/>
      <c r="B2975"/>
      <c r="C2975"/>
      <c r="D2975"/>
      <c r="E2975"/>
      <c r="F2975"/>
    </row>
    <row r="2976" spans="1:6">
      <c r="A2976"/>
      <c r="B2976"/>
      <c r="C2976"/>
      <c r="D2976"/>
      <c r="E2976"/>
      <c r="F2976"/>
    </row>
    <row r="2977" spans="1:6">
      <c r="A2977"/>
      <c r="B2977"/>
      <c r="C2977"/>
      <c r="D2977"/>
      <c r="E2977"/>
      <c r="F2977"/>
    </row>
    <row r="2978" spans="1:6">
      <c r="A2978"/>
      <c r="B2978"/>
      <c r="C2978"/>
      <c r="D2978"/>
      <c r="E2978"/>
      <c r="F2978"/>
    </row>
    <row r="2979" spans="1:6">
      <c r="A2979"/>
      <c r="B2979"/>
      <c r="C2979"/>
      <c r="D2979"/>
      <c r="E2979"/>
      <c r="F2979"/>
    </row>
    <row r="2980" spans="1:6">
      <c r="A2980"/>
      <c r="B2980"/>
      <c r="C2980"/>
      <c r="D2980"/>
      <c r="E2980"/>
      <c r="F2980"/>
    </row>
    <row r="2981" spans="1:6">
      <c r="A2981"/>
      <c r="B2981"/>
      <c r="C2981"/>
      <c r="D2981"/>
      <c r="E2981"/>
      <c r="F2981"/>
    </row>
    <row r="2982" spans="1:6">
      <c r="A2982"/>
      <c r="B2982"/>
      <c r="C2982"/>
      <c r="D2982"/>
      <c r="E2982"/>
      <c r="F2982"/>
    </row>
    <row r="2983" spans="1:6">
      <c r="A2983"/>
      <c r="B2983"/>
      <c r="C2983"/>
      <c r="D2983"/>
      <c r="E2983"/>
      <c r="F2983"/>
    </row>
    <row r="2984" spans="1:6">
      <c r="A2984"/>
      <c r="B2984"/>
      <c r="C2984"/>
      <c r="D2984"/>
      <c r="E2984"/>
      <c r="F2984"/>
    </row>
    <row r="2985" spans="1:6">
      <c r="A2985"/>
      <c r="B2985"/>
      <c r="C2985"/>
      <c r="D2985"/>
      <c r="E2985"/>
      <c r="F2985"/>
    </row>
    <row r="2986" spans="1:6">
      <c r="A2986"/>
      <c r="B2986"/>
      <c r="C2986"/>
      <c r="D2986"/>
      <c r="E2986"/>
      <c r="F2986"/>
    </row>
    <row r="2987" spans="1:6">
      <c r="A2987"/>
      <c r="B2987"/>
      <c r="C2987"/>
      <c r="D2987"/>
      <c r="E2987"/>
      <c r="F2987"/>
    </row>
    <row r="2988" spans="1:6">
      <c r="A2988"/>
      <c r="B2988"/>
      <c r="C2988"/>
      <c r="D2988"/>
      <c r="E2988"/>
      <c r="F2988"/>
    </row>
    <row r="2989" spans="1:6">
      <c r="A2989"/>
      <c r="B2989"/>
      <c r="C2989"/>
      <c r="D2989"/>
      <c r="E2989"/>
      <c r="F2989"/>
    </row>
    <row r="2990" spans="1:6">
      <c r="A2990"/>
      <c r="B2990"/>
      <c r="C2990"/>
      <c r="D2990"/>
      <c r="E2990"/>
      <c r="F2990"/>
    </row>
    <row r="2991" spans="1:6">
      <c r="A2991"/>
      <c r="B2991"/>
      <c r="C2991"/>
      <c r="D2991"/>
      <c r="E2991"/>
      <c r="F2991"/>
    </row>
    <row r="2992" spans="1:6">
      <c r="A2992"/>
      <c r="B2992"/>
      <c r="C2992"/>
      <c r="D2992"/>
      <c r="E2992"/>
      <c r="F2992"/>
    </row>
    <row r="2993" spans="1:6">
      <c r="A2993"/>
      <c r="B2993"/>
      <c r="C2993"/>
      <c r="D2993"/>
      <c r="E2993"/>
      <c r="F2993"/>
    </row>
    <row r="2994" spans="1:6">
      <c r="A2994"/>
      <c r="B2994"/>
      <c r="C2994"/>
      <c r="D2994"/>
      <c r="E2994"/>
      <c r="F2994"/>
    </row>
    <row r="2995" spans="1:6">
      <c r="A2995"/>
      <c r="B2995"/>
      <c r="C2995"/>
      <c r="D2995"/>
      <c r="E2995"/>
      <c r="F2995"/>
    </row>
    <row r="2996" spans="1:6">
      <c r="A2996"/>
      <c r="B2996"/>
      <c r="C2996"/>
      <c r="D2996"/>
      <c r="E2996"/>
      <c r="F2996"/>
    </row>
    <row r="2997" spans="1:6">
      <c r="A2997"/>
      <c r="B2997"/>
      <c r="C2997"/>
      <c r="D2997"/>
      <c r="E2997"/>
      <c r="F2997"/>
    </row>
    <row r="2998" spans="1:6">
      <c r="A2998"/>
      <c r="B2998"/>
      <c r="C2998"/>
      <c r="D2998"/>
      <c r="E2998"/>
      <c r="F2998"/>
    </row>
    <row r="2999" spans="1:6">
      <c r="A2999"/>
      <c r="B2999"/>
      <c r="C2999"/>
      <c r="D2999"/>
      <c r="E2999"/>
      <c r="F2999"/>
    </row>
    <row r="3000" spans="1:6">
      <c r="A3000"/>
      <c r="B3000"/>
      <c r="C3000"/>
      <c r="D3000"/>
      <c r="E3000"/>
      <c r="F3000"/>
    </row>
    <row r="3001" spans="1:6">
      <c r="A3001"/>
      <c r="B3001"/>
      <c r="C3001"/>
      <c r="D3001"/>
      <c r="E3001"/>
      <c r="F3001"/>
    </row>
    <row r="3002" spans="1:6">
      <c r="A3002"/>
      <c r="B3002"/>
      <c r="C3002"/>
      <c r="D3002"/>
      <c r="E3002"/>
      <c r="F3002"/>
    </row>
    <row r="3003" spans="1:6">
      <c r="A3003"/>
      <c r="B3003"/>
      <c r="C3003"/>
      <c r="D3003"/>
      <c r="E3003"/>
      <c r="F3003"/>
    </row>
    <row r="3004" spans="1:6">
      <c r="A3004"/>
      <c r="B3004"/>
      <c r="C3004"/>
      <c r="D3004"/>
      <c r="E3004"/>
      <c r="F3004"/>
    </row>
    <row r="3005" spans="1:6">
      <c r="A3005"/>
      <c r="B3005"/>
      <c r="C3005"/>
      <c r="D3005"/>
      <c r="E3005"/>
      <c r="F3005"/>
    </row>
    <row r="3006" spans="1:6">
      <c r="A3006"/>
      <c r="B3006"/>
      <c r="C3006"/>
      <c r="D3006"/>
      <c r="E3006"/>
      <c r="F3006"/>
    </row>
    <row r="3007" spans="1:6">
      <c r="A3007"/>
      <c r="B3007"/>
      <c r="C3007"/>
      <c r="D3007"/>
      <c r="E3007"/>
      <c r="F3007"/>
    </row>
    <row r="3008" spans="1:6">
      <c r="A3008"/>
      <c r="B3008"/>
      <c r="C3008"/>
      <c r="D3008"/>
      <c r="E3008"/>
      <c r="F3008"/>
    </row>
    <row r="3009" spans="1:6">
      <c r="A3009"/>
      <c r="B3009"/>
      <c r="C3009"/>
      <c r="D3009"/>
      <c r="E3009"/>
      <c r="F3009"/>
    </row>
    <row r="3010" spans="1:6">
      <c r="A3010"/>
      <c r="B3010"/>
      <c r="C3010"/>
      <c r="D3010"/>
      <c r="E3010"/>
      <c r="F3010"/>
    </row>
    <row r="3011" spans="1:6">
      <c r="A3011"/>
      <c r="B3011"/>
      <c r="C3011"/>
      <c r="D3011"/>
      <c r="E3011"/>
      <c r="F3011"/>
    </row>
    <row r="3012" spans="1:6">
      <c r="A3012"/>
      <c r="B3012"/>
      <c r="C3012"/>
      <c r="D3012"/>
      <c r="E3012"/>
      <c r="F3012"/>
    </row>
    <row r="3013" spans="1:6">
      <c r="A3013"/>
      <c r="B3013"/>
      <c r="C3013"/>
      <c r="D3013"/>
      <c r="E3013"/>
      <c r="F3013"/>
    </row>
    <row r="3014" spans="1:6">
      <c r="A3014"/>
      <c r="B3014"/>
      <c r="C3014"/>
      <c r="D3014"/>
      <c r="E3014"/>
      <c r="F3014"/>
    </row>
    <row r="3015" spans="1:6">
      <c r="A3015"/>
      <c r="B3015"/>
      <c r="C3015"/>
      <c r="D3015"/>
      <c r="E3015"/>
      <c r="F3015"/>
    </row>
    <row r="3016" spans="1:6">
      <c r="A3016"/>
      <c r="B3016"/>
      <c r="C3016"/>
      <c r="D3016"/>
      <c r="E3016"/>
      <c r="F3016"/>
    </row>
    <row r="3017" spans="1:6">
      <c r="A3017"/>
      <c r="B3017"/>
      <c r="C3017"/>
      <c r="D3017"/>
      <c r="E3017"/>
      <c r="F3017"/>
    </row>
    <row r="3018" spans="1:6">
      <c r="A3018"/>
      <c r="B3018"/>
      <c r="C3018"/>
      <c r="D3018"/>
      <c r="E3018"/>
      <c r="F3018"/>
    </row>
    <row r="3019" spans="1:6">
      <c r="A3019"/>
      <c r="B3019"/>
      <c r="C3019"/>
      <c r="D3019"/>
      <c r="E3019"/>
      <c r="F3019"/>
    </row>
    <row r="3020" spans="1:6">
      <c r="A3020"/>
      <c r="B3020"/>
      <c r="C3020"/>
      <c r="D3020"/>
      <c r="E3020"/>
      <c r="F3020"/>
    </row>
    <row r="3021" spans="1:6">
      <c r="A3021"/>
      <c r="B3021"/>
      <c r="C3021"/>
      <c r="D3021"/>
      <c r="E3021"/>
      <c r="F3021"/>
    </row>
    <row r="3022" spans="1:6">
      <c r="A3022"/>
      <c r="B3022"/>
      <c r="C3022"/>
      <c r="D3022"/>
      <c r="E3022"/>
      <c r="F3022"/>
    </row>
    <row r="3023" spans="1:6">
      <c r="A3023"/>
      <c r="B3023"/>
      <c r="C3023"/>
      <c r="D3023"/>
      <c r="E3023"/>
      <c r="F3023"/>
    </row>
    <row r="3024" spans="1:6">
      <c r="A3024"/>
      <c r="B3024"/>
      <c r="C3024"/>
      <c r="D3024"/>
      <c r="E3024"/>
      <c r="F3024"/>
    </row>
    <row r="3025" spans="1:6">
      <c r="A3025"/>
      <c r="B3025"/>
      <c r="C3025"/>
      <c r="D3025"/>
      <c r="E3025"/>
      <c r="F3025"/>
    </row>
    <row r="3026" spans="1:6">
      <c r="A3026"/>
      <c r="B3026"/>
      <c r="C3026"/>
      <c r="D3026"/>
      <c r="E3026"/>
      <c r="F3026"/>
    </row>
    <row r="3027" spans="1:6">
      <c r="A3027"/>
      <c r="B3027"/>
      <c r="C3027"/>
      <c r="D3027"/>
      <c r="E3027"/>
      <c r="F3027"/>
    </row>
    <row r="3028" spans="1:6">
      <c r="A3028"/>
      <c r="B3028"/>
      <c r="C3028"/>
      <c r="D3028"/>
      <c r="E3028"/>
      <c r="F3028"/>
    </row>
    <row r="3029" spans="1:6">
      <c r="A3029"/>
      <c r="B3029"/>
      <c r="C3029"/>
      <c r="D3029"/>
      <c r="E3029"/>
      <c r="F3029"/>
    </row>
    <row r="3030" spans="1:6">
      <c r="A3030"/>
      <c r="B3030"/>
      <c r="C3030"/>
      <c r="D3030"/>
      <c r="E3030"/>
      <c r="F3030"/>
    </row>
    <row r="3031" spans="1:6">
      <c r="A3031"/>
      <c r="B3031"/>
      <c r="C3031"/>
      <c r="D3031"/>
      <c r="E3031"/>
      <c r="F3031"/>
    </row>
    <row r="3032" spans="1:6">
      <c r="A3032"/>
      <c r="B3032"/>
      <c r="C3032"/>
      <c r="D3032"/>
      <c r="E3032"/>
      <c r="F3032"/>
    </row>
    <row r="3033" spans="1:6">
      <c r="A3033"/>
      <c r="B3033"/>
      <c r="C3033"/>
      <c r="D3033"/>
      <c r="E3033"/>
      <c r="F3033"/>
    </row>
    <row r="3034" spans="1:6">
      <c r="A3034"/>
      <c r="B3034"/>
      <c r="C3034"/>
      <c r="D3034"/>
      <c r="E3034"/>
      <c r="F3034"/>
    </row>
    <row r="3035" spans="1:6">
      <c r="A3035"/>
      <c r="B3035"/>
      <c r="C3035"/>
      <c r="D3035"/>
      <c r="E3035"/>
      <c r="F3035"/>
    </row>
    <row r="3036" spans="1:6">
      <c r="A3036"/>
      <c r="B3036"/>
      <c r="C3036"/>
      <c r="D3036"/>
      <c r="E3036"/>
      <c r="F3036"/>
    </row>
    <row r="3037" spans="1:6">
      <c r="A3037"/>
      <c r="B3037"/>
      <c r="C3037"/>
      <c r="D3037"/>
      <c r="E3037"/>
      <c r="F3037"/>
    </row>
    <row r="3038" spans="1:6">
      <c r="A3038"/>
      <c r="B3038"/>
      <c r="C3038"/>
      <c r="D3038"/>
      <c r="E3038"/>
      <c r="F3038"/>
    </row>
    <row r="3039" spans="1:6">
      <c r="A3039"/>
      <c r="B3039"/>
      <c r="C3039"/>
      <c r="D3039"/>
      <c r="E3039"/>
      <c r="F3039"/>
    </row>
    <row r="3040" spans="1:6">
      <c r="A3040"/>
      <c r="B3040"/>
      <c r="C3040"/>
      <c r="D3040"/>
      <c r="E3040"/>
      <c r="F3040"/>
    </row>
    <row r="3041" spans="1:6">
      <c r="A3041"/>
      <c r="B3041"/>
      <c r="C3041"/>
      <c r="D3041"/>
      <c r="E3041"/>
      <c r="F3041"/>
    </row>
    <row r="3042" spans="1:6">
      <c r="A3042"/>
      <c r="B3042"/>
      <c r="C3042"/>
      <c r="D3042"/>
      <c r="E3042"/>
      <c r="F3042"/>
    </row>
    <row r="3043" spans="1:6">
      <c r="A3043"/>
      <c r="B3043"/>
      <c r="C3043"/>
      <c r="D3043"/>
      <c r="E3043"/>
      <c r="F3043"/>
    </row>
    <row r="3044" spans="1:6">
      <c r="A3044"/>
      <c r="B3044"/>
      <c r="C3044"/>
      <c r="D3044"/>
      <c r="E3044"/>
      <c r="F3044"/>
    </row>
    <row r="3045" spans="1:6">
      <c r="A3045"/>
      <c r="B3045"/>
      <c r="C3045"/>
      <c r="D3045"/>
      <c r="E3045"/>
      <c r="F3045"/>
    </row>
    <row r="3046" spans="1:6">
      <c r="A3046"/>
      <c r="B3046"/>
      <c r="C3046"/>
      <c r="D3046"/>
      <c r="E3046"/>
      <c r="F3046"/>
    </row>
    <row r="3047" spans="1:6">
      <c r="A3047"/>
      <c r="B3047"/>
      <c r="C3047"/>
      <c r="D3047"/>
      <c r="E3047"/>
      <c r="F3047"/>
    </row>
    <row r="3048" spans="1:6">
      <c r="A3048"/>
      <c r="B3048"/>
      <c r="C3048"/>
      <c r="D3048"/>
      <c r="E3048"/>
      <c r="F3048"/>
    </row>
    <row r="3049" spans="1:6">
      <c r="A3049"/>
      <c r="B3049"/>
      <c r="C3049"/>
      <c r="D3049"/>
      <c r="E3049"/>
      <c r="F3049"/>
    </row>
    <row r="3050" spans="1:6">
      <c r="A3050"/>
      <c r="B3050"/>
      <c r="C3050"/>
      <c r="D3050"/>
      <c r="E3050"/>
      <c r="F3050"/>
    </row>
    <row r="3051" spans="1:6">
      <c r="A3051"/>
      <c r="B3051"/>
      <c r="C3051"/>
      <c r="D3051"/>
      <c r="E3051"/>
      <c r="F3051"/>
    </row>
    <row r="3052" spans="1:6">
      <c r="A3052"/>
      <c r="B3052"/>
      <c r="C3052"/>
      <c r="D3052"/>
      <c r="E3052"/>
      <c r="F3052"/>
    </row>
    <row r="3053" spans="1:6">
      <c r="A3053"/>
      <c r="B3053"/>
      <c r="C3053"/>
      <c r="D3053"/>
      <c r="E3053"/>
      <c r="F3053"/>
    </row>
    <row r="3054" spans="1:6">
      <c r="A3054"/>
      <c r="B3054"/>
      <c r="C3054"/>
      <c r="D3054"/>
      <c r="E3054"/>
      <c r="F3054"/>
    </row>
    <row r="3055" spans="1:6">
      <c r="A3055"/>
      <c r="B3055"/>
      <c r="C3055"/>
      <c r="D3055"/>
      <c r="E3055"/>
      <c r="F3055"/>
    </row>
    <row r="3056" spans="1:6">
      <c r="A3056"/>
      <c r="B3056"/>
      <c r="C3056"/>
      <c r="D3056"/>
      <c r="E3056"/>
      <c r="F3056"/>
    </row>
    <row r="3057" spans="1:6">
      <c r="A3057"/>
      <c r="B3057"/>
      <c r="C3057"/>
      <c r="D3057"/>
      <c r="E3057"/>
      <c r="F3057"/>
    </row>
    <row r="3058" spans="1:6">
      <c r="A3058"/>
      <c r="B3058"/>
      <c r="C3058"/>
      <c r="D3058"/>
      <c r="E3058"/>
      <c r="F3058"/>
    </row>
    <row r="3059" spans="1:6">
      <c r="A3059"/>
      <c r="B3059"/>
      <c r="C3059"/>
      <c r="D3059"/>
      <c r="E3059"/>
      <c r="F3059"/>
    </row>
    <row r="3060" spans="1:6">
      <c r="A3060"/>
      <c r="B3060"/>
      <c r="C3060"/>
      <c r="D3060"/>
      <c r="E3060"/>
      <c r="F3060"/>
    </row>
    <row r="3061" spans="1:6">
      <c r="A3061"/>
      <c r="B3061"/>
      <c r="C3061"/>
      <c r="D3061"/>
      <c r="E3061"/>
      <c r="F3061"/>
    </row>
    <row r="3062" spans="1:6">
      <c r="A3062"/>
      <c r="B3062"/>
      <c r="C3062"/>
      <c r="D3062"/>
      <c r="E3062"/>
      <c r="F3062"/>
    </row>
    <row r="3063" spans="1:6">
      <c r="A3063"/>
      <c r="B3063"/>
      <c r="C3063"/>
      <c r="D3063"/>
      <c r="E3063"/>
      <c r="F3063"/>
    </row>
    <row r="3064" spans="1:6">
      <c r="A3064"/>
      <c r="B3064"/>
      <c r="C3064"/>
      <c r="D3064"/>
      <c r="E3064"/>
      <c r="F3064"/>
    </row>
    <row r="3065" spans="1:6">
      <c r="A3065"/>
      <c r="B3065"/>
      <c r="C3065"/>
      <c r="D3065"/>
      <c r="E3065"/>
      <c r="F3065"/>
    </row>
    <row r="3066" spans="1:6">
      <c r="A3066"/>
      <c r="B3066"/>
      <c r="C3066"/>
      <c r="D3066"/>
      <c r="E3066"/>
      <c r="F3066"/>
    </row>
    <row r="3067" spans="1:6">
      <c r="A3067"/>
      <c r="B3067"/>
      <c r="C3067"/>
      <c r="D3067"/>
      <c r="E3067"/>
      <c r="F3067"/>
    </row>
    <row r="3068" spans="1:6">
      <c r="A3068"/>
      <c r="B3068"/>
      <c r="C3068"/>
      <c r="D3068"/>
      <c r="E3068"/>
      <c r="F3068"/>
    </row>
    <row r="3069" spans="1:6">
      <c r="A3069"/>
      <c r="B3069"/>
      <c r="C3069"/>
      <c r="D3069"/>
      <c r="E3069"/>
      <c r="F3069"/>
    </row>
    <row r="3070" spans="1:6">
      <c r="A3070"/>
      <c r="B3070"/>
      <c r="C3070"/>
      <c r="D3070"/>
      <c r="E3070"/>
      <c r="F3070"/>
    </row>
    <row r="3071" spans="1:6">
      <c r="A3071"/>
      <c r="B3071"/>
      <c r="C3071"/>
      <c r="D3071"/>
      <c r="E3071"/>
      <c r="F3071"/>
    </row>
    <row r="3072" spans="1:6">
      <c r="A3072"/>
      <c r="B3072"/>
      <c r="C3072"/>
      <c r="D3072"/>
      <c r="E3072"/>
      <c r="F3072"/>
    </row>
    <row r="3073" spans="1:6">
      <c r="A3073"/>
      <c r="B3073"/>
      <c r="C3073"/>
      <c r="D3073"/>
      <c r="E3073"/>
      <c r="F3073"/>
    </row>
    <row r="3074" spans="1:6">
      <c r="A3074"/>
      <c r="B3074"/>
      <c r="C3074"/>
      <c r="D3074"/>
      <c r="E3074"/>
      <c r="F3074"/>
    </row>
    <row r="3075" spans="1:6">
      <c r="A3075"/>
      <c r="B3075"/>
      <c r="C3075"/>
      <c r="D3075"/>
      <c r="E3075"/>
      <c r="F3075"/>
    </row>
    <row r="3076" spans="1:6">
      <c r="A3076"/>
      <c r="B3076"/>
      <c r="C3076"/>
      <c r="D3076"/>
      <c r="E3076"/>
      <c r="F3076"/>
    </row>
    <row r="3077" spans="1:6">
      <c r="A3077"/>
      <c r="B3077"/>
      <c r="C3077"/>
      <c r="D3077"/>
      <c r="E3077"/>
      <c r="F3077"/>
    </row>
    <row r="3078" spans="1:6">
      <c r="A3078"/>
      <c r="B3078"/>
      <c r="C3078"/>
      <c r="D3078"/>
      <c r="E3078"/>
      <c r="F3078"/>
    </row>
    <row r="3079" spans="1:6">
      <c r="A3079"/>
      <c r="B3079"/>
      <c r="C3079"/>
      <c r="D3079"/>
      <c r="E3079"/>
      <c r="F3079"/>
    </row>
    <row r="3080" spans="1:6">
      <c r="A3080"/>
      <c r="B3080"/>
      <c r="C3080"/>
      <c r="D3080"/>
      <c r="E3080"/>
      <c r="F3080"/>
    </row>
    <row r="3081" spans="1:6">
      <c r="A3081"/>
      <c r="B3081"/>
      <c r="C3081"/>
      <c r="D3081"/>
      <c r="E3081"/>
      <c r="F3081"/>
    </row>
    <row r="3082" spans="1:6">
      <c r="A3082"/>
      <c r="B3082"/>
      <c r="C3082"/>
      <c r="D3082"/>
      <c r="E3082"/>
      <c r="F3082"/>
    </row>
    <row r="3083" spans="1:6">
      <c r="A3083"/>
      <c r="B3083"/>
      <c r="C3083"/>
      <c r="D3083"/>
      <c r="E3083"/>
      <c r="F3083"/>
    </row>
    <row r="3084" spans="1:6">
      <c r="A3084"/>
      <c r="B3084"/>
      <c r="C3084"/>
      <c r="D3084"/>
      <c r="E3084"/>
      <c r="F3084"/>
    </row>
    <row r="3085" spans="1:6">
      <c r="A3085"/>
      <c r="B3085"/>
      <c r="C3085"/>
      <c r="D3085"/>
      <c r="E3085"/>
      <c r="F3085"/>
    </row>
    <row r="3086" spans="1:6">
      <c r="A3086"/>
      <c r="B3086"/>
      <c r="C3086"/>
      <c r="D3086"/>
      <c r="E3086"/>
      <c r="F3086"/>
    </row>
    <row r="3087" spans="1:6">
      <c r="A3087"/>
      <c r="B3087"/>
      <c r="C3087"/>
      <c r="D3087"/>
      <c r="E3087"/>
      <c r="F3087"/>
    </row>
    <row r="3088" spans="1:6">
      <c r="A3088"/>
      <c r="B3088"/>
      <c r="C3088"/>
      <c r="D3088"/>
      <c r="E3088"/>
      <c r="F3088"/>
    </row>
    <row r="3089" spans="1:6">
      <c r="A3089"/>
      <c r="B3089"/>
      <c r="C3089"/>
      <c r="D3089"/>
      <c r="E3089"/>
      <c r="F3089"/>
    </row>
    <row r="3090" spans="1:6">
      <c r="A3090"/>
      <c r="B3090"/>
      <c r="C3090"/>
      <c r="D3090"/>
      <c r="E3090"/>
      <c r="F3090"/>
    </row>
    <row r="3091" spans="1:6">
      <c r="A3091"/>
      <c r="B3091"/>
      <c r="C3091"/>
      <c r="D3091"/>
      <c r="E3091"/>
      <c r="F3091"/>
    </row>
    <row r="3092" spans="1:6">
      <c r="A3092"/>
      <c r="B3092"/>
      <c r="C3092"/>
      <c r="D3092"/>
      <c r="E3092"/>
      <c r="F3092"/>
    </row>
    <row r="3093" spans="1:6">
      <c r="A3093"/>
      <c r="B3093"/>
      <c r="C3093"/>
      <c r="D3093"/>
      <c r="E3093"/>
      <c r="F3093"/>
    </row>
    <row r="3094" spans="1:6">
      <c r="A3094"/>
      <c r="B3094"/>
      <c r="C3094"/>
      <c r="D3094"/>
      <c r="E3094"/>
      <c r="F3094"/>
    </row>
    <row r="3095" spans="1:6">
      <c r="A3095"/>
      <c r="B3095"/>
      <c r="C3095"/>
      <c r="D3095"/>
      <c r="E3095"/>
      <c r="F3095"/>
    </row>
    <row r="3096" spans="1:6">
      <c r="A3096"/>
      <c r="B3096"/>
      <c r="C3096"/>
      <c r="D3096"/>
      <c r="E3096"/>
      <c r="F3096"/>
    </row>
    <row r="3097" spans="1:6">
      <c r="A3097"/>
      <c r="B3097"/>
      <c r="C3097"/>
      <c r="D3097"/>
      <c r="E3097"/>
      <c r="F3097"/>
    </row>
    <row r="3098" spans="1:6">
      <c r="A3098"/>
      <c r="B3098"/>
      <c r="C3098"/>
      <c r="D3098"/>
      <c r="E3098"/>
      <c r="F3098"/>
    </row>
    <row r="3099" spans="1:6">
      <c r="A3099"/>
      <c r="B3099"/>
      <c r="C3099"/>
      <c r="D3099"/>
      <c r="E3099"/>
      <c r="F3099"/>
    </row>
    <row r="3100" spans="1:6">
      <c r="A3100"/>
      <c r="B3100"/>
      <c r="C3100"/>
      <c r="D3100"/>
      <c r="E3100"/>
      <c r="F3100"/>
    </row>
    <row r="3101" spans="1:6">
      <c r="A3101"/>
      <c r="B3101"/>
      <c r="C3101"/>
      <c r="D3101"/>
      <c r="E3101"/>
      <c r="F3101"/>
    </row>
    <row r="3102" spans="1:6">
      <c r="A3102"/>
      <c r="B3102"/>
      <c r="C3102"/>
      <c r="D3102"/>
      <c r="E3102"/>
      <c r="F3102"/>
    </row>
    <row r="3103" spans="1:6">
      <c r="A3103"/>
      <c r="B3103"/>
      <c r="C3103"/>
      <c r="D3103"/>
      <c r="E3103"/>
      <c r="F3103"/>
    </row>
    <row r="3104" spans="1:6">
      <c r="A3104"/>
      <c r="B3104"/>
      <c r="C3104"/>
      <c r="D3104"/>
      <c r="E3104"/>
      <c r="F3104"/>
    </row>
    <row r="3105" spans="1:6">
      <c r="A3105"/>
      <c r="B3105"/>
      <c r="C3105"/>
      <c r="D3105"/>
      <c r="E3105"/>
      <c r="F3105"/>
    </row>
    <row r="3106" spans="1:6">
      <c r="A3106"/>
      <c r="B3106"/>
      <c r="C3106"/>
      <c r="D3106"/>
      <c r="E3106"/>
      <c r="F3106"/>
    </row>
    <row r="3107" spans="1:6">
      <c r="A3107"/>
      <c r="B3107"/>
      <c r="C3107"/>
      <c r="D3107"/>
      <c r="E3107"/>
      <c r="F3107"/>
    </row>
    <row r="3108" spans="1:6">
      <c r="A3108"/>
      <c r="B3108"/>
      <c r="C3108"/>
      <c r="D3108"/>
      <c r="E3108"/>
      <c r="F3108"/>
    </row>
    <row r="3109" spans="1:6">
      <c r="A3109"/>
      <c r="B3109"/>
      <c r="C3109"/>
      <c r="D3109"/>
      <c r="E3109"/>
      <c r="F3109"/>
    </row>
    <row r="3110" spans="1:6">
      <c r="A3110"/>
      <c r="B3110"/>
      <c r="C3110"/>
      <c r="D3110"/>
      <c r="E3110"/>
      <c r="F3110"/>
    </row>
    <row r="3111" spans="1:6">
      <c r="A3111"/>
      <c r="B3111"/>
      <c r="C3111"/>
      <c r="D3111"/>
      <c r="E3111"/>
      <c r="F3111"/>
    </row>
    <row r="3112" spans="1:6">
      <c r="A3112"/>
      <c r="B3112"/>
      <c r="C3112"/>
      <c r="D3112"/>
      <c r="E3112"/>
      <c r="F3112"/>
    </row>
    <row r="3113" spans="1:6">
      <c r="A3113"/>
      <c r="B3113"/>
      <c r="C3113"/>
      <c r="D3113"/>
      <c r="E3113"/>
      <c r="F3113"/>
    </row>
    <row r="3114" spans="1:6">
      <c r="A3114"/>
      <c r="B3114"/>
      <c r="C3114"/>
      <c r="D3114"/>
      <c r="E3114"/>
      <c r="F3114"/>
    </row>
    <row r="3115" spans="1:6">
      <c r="A3115"/>
      <c r="B3115"/>
      <c r="C3115"/>
      <c r="D3115"/>
      <c r="E3115"/>
      <c r="F3115"/>
    </row>
    <row r="3116" spans="1:6">
      <c r="A3116"/>
      <c r="B3116"/>
      <c r="C3116"/>
      <c r="D3116"/>
      <c r="E3116"/>
      <c r="F3116"/>
    </row>
    <row r="3117" spans="1:6">
      <c r="A3117"/>
      <c r="B3117"/>
      <c r="C3117"/>
      <c r="D3117"/>
      <c r="E3117"/>
      <c r="F3117"/>
    </row>
    <row r="3118" spans="1:6">
      <c r="A3118"/>
      <c r="B3118"/>
      <c r="C3118"/>
      <c r="D3118"/>
      <c r="E3118"/>
      <c r="F3118"/>
    </row>
    <row r="3119" spans="1:6">
      <c r="A3119"/>
      <c r="B3119"/>
      <c r="C3119"/>
      <c r="D3119"/>
      <c r="E3119"/>
      <c r="F3119"/>
    </row>
    <row r="3120" spans="1:6">
      <c r="A3120"/>
      <c r="B3120"/>
      <c r="C3120"/>
      <c r="D3120"/>
      <c r="E3120"/>
      <c r="F3120"/>
    </row>
    <row r="3121" spans="1:6">
      <c r="A3121"/>
      <c r="B3121"/>
      <c r="C3121"/>
      <c r="D3121"/>
      <c r="E3121"/>
      <c r="F3121"/>
    </row>
    <row r="3122" spans="1:6">
      <c r="A3122"/>
      <c r="B3122"/>
      <c r="C3122"/>
      <c r="D3122"/>
      <c r="E3122"/>
      <c r="F3122"/>
    </row>
    <row r="3123" spans="1:6">
      <c r="A3123"/>
      <c r="B3123"/>
      <c r="C3123"/>
      <c r="D3123"/>
      <c r="E3123"/>
      <c r="F3123"/>
    </row>
    <row r="3124" spans="1:6">
      <c r="A3124"/>
      <c r="B3124"/>
      <c r="C3124"/>
      <c r="D3124"/>
      <c r="E3124"/>
      <c r="F3124"/>
    </row>
    <row r="3125" spans="1:6">
      <c r="A3125"/>
      <c r="B3125"/>
      <c r="C3125"/>
      <c r="D3125"/>
      <c r="E3125"/>
      <c r="F3125"/>
    </row>
    <row r="3126" spans="1:6">
      <c r="A3126"/>
      <c r="B3126"/>
      <c r="C3126"/>
      <c r="D3126"/>
      <c r="E3126"/>
      <c r="F3126"/>
    </row>
    <row r="3127" spans="1:6">
      <c r="A3127"/>
      <c r="B3127"/>
      <c r="C3127"/>
      <c r="D3127"/>
      <c r="E3127"/>
      <c r="F3127"/>
    </row>
    <row r="3128" spans="1:6">
      <c r="A3128"/>
      <c r="B3128"/>
      <c r="C3128"/>
      <c r="D3128"/>
      <c r="E3128"/>
      <c r="F3128"/>
    </row>
    <row r="3129" spans="1:6">
      <c r="A3129"/>
      <c r="B3129"/>
      <c r="C3129"/>
      <c r="D3129"/>
      <c r="E3129"/>
      <c r="F3129"/>
    </row>
    <row r="3130" spans="1:6">
      <c r="A3130"/>
      <c r="B3130"/>
      <c r="C3130"/>
      <c r="D3130"/>
      <c r="E3130"/>
      <c r="F3130"/>
    </row>
    <row r="3131" spans="1:6">
      <c r="A3131"/>
      <c r="B3131"/>
      <c r="C3131"/>
      <c r="D3131"/>
      <c r="E3131"/>
      <c r="F3131"/>
    </row>
    <row r="3132" spans="1:6">
      <c r="A3132"/>
      <c r="B3132"/>
      <c r="C3132"/>
      <c r="D3132"/>
      <c r="E3132"/>
      <c r="F3132"/>
    </row>
    <row r="3133" spans="1:6">
      <c r="A3133"/>
      <c r="B3133"/>
      <c r="C3133"/>
      <c r="D3133"/>
      <c r="E3133"/>
      <c r="F3133"/>
    </row>
    <row r="3134" spans="1:6">
      <c r="A3134"/>
      <c r="B3134"/>
      <c r="C3134"/>
      <c r="D3134"/>
      <c r="E3134"/>
      <c r="F3134"/>
    </row>
    <row r="3135" spans="1:6">
      <c r="A3135"/>
      <c r="B3135"/>
      <c r="C3135"/>
      <c r="D3135"/>
      <c r="E3135"/>
      <c r="F3135"/>
    </row>
    <row r="3136" spans="1:6">
      <c r="A3136"/>
      <c r="B3136"/>
      <c r="C3136"/>
      <c r="D3136"/>
      <c r="E3136"/>
      <c r="F3136"/>
    </row>
    <row r="3137" spans="1:6">
      <c r="A3137"/>
      <c r="B3137"/>
      <c r="C3137"/>
      <c r="D3137"/>
      <c r="E3137"/>
      <c r="F3137"/>
    </row>
    <row r="3138" spans="1:6">
      <c r="A3138"/>
      <c r="B3138"/>
      <c r="C3138"/>
      <c r="D3138"/>
      <c r="E3138"/>
      <c r="F3138"/>
    </row>
    <row r="3139" spans="1:6">
      <c r="A3139"/>
      <c r="B3139"/>
      <c r="C3139"/>
      <c r="D3139"/>
      <c r="E3139"/>
      <c r="F3139"/>
    </row>
    <row r="3140" spans="1:6">
      <c r="A3140"/>
      <c r="B3140"/>
      <c r="C3140"/>
      <c r="D3140"/>
      <c r="E3140"/>
      <c r="F3140"/>
    </row>
    <row r="3141" spans="1:6">
      <c r="A3141"/>
      <c r="B3141"/>
      <c r="C3141"/>
      <c r="D3141"/>
      <c r="E3141"/>
      <c r="F3141"/>
    </row>
    <row r="3142" spans="1:6">
      <c r="A3142"/>
      <c r="B3142"/>
      <c r="C3142"/>
      <c r="D3142"/>
      <c r="E3142"/>
      <c r="F3142"/>
    </row>
    <row r="3143" spans="1:6">
      <c r="A3143"/>
      <c r="B3143"/>
      <c r="C3143"/>
      <c r="D3143"/>
      <c r="E3143"/>
      <c r="F3143"/>
    </row>
    <row r="3144" spans="1:6">
      <c r="A3144"/>
      <c r="B3144"/>
      <c r="C3144"/>
      <c r="D3144"/>
      <c r="E3144"/>
      <c r="F3144"/>
    </row>
    <row r="3145" spans="1:6">
      <c r="A3145"/>
      <c r="B3145"/>
      <c r="C3145"/>
      <c r="D3145"/>
      <c r="E3145"/>
      <c r="F3145"/>
    </row>
    <row r="3146" spans="1:6">
      <c r="A3146"/>
      <c r="B3146"/>
      <c r="C3146"/>
      <c r="D3146"/>
      <c r="E3146"/>
      <c r="F3146"/>
    </row>
    <row r="3147" spans="1:6">
      <c r="A3147"/>
      <c r="B3147"/>
      <c r="C3147"/>
      <c r="D3147"/>
      <c r="E3147"/>
      <c r="F3147"/>
    </row>
    <row r="3148" spans="1:6">
      <c r="A3148"/>
      <c r="B3148"/>
      <c r="C3148"/>
      <c r="D3148"/>
      <c r="E3148"/>
      <c r="F3148"/>
    </row>
    <row r="3149" spans="1:6">
      <c r="A3149"/>
      <c r="B3149"/>
      <c r="C3149"/>
      <c r="D3149"/>
      <c r="E3149"/>
      <c r="F3149"/>
    </row>
    <row r="3150" spans="1:6">
      <c r="A3150"/>
      <c r="B3150"/>
      <c r="C3150"/>
      <c r="D3150"/>
      <c r="E3150"/>
      <c r="F3150"/>
    </row>
    <row r="3151" spans="1:6">
      <c r="A3151"/>
      <c r="B3151"/>
      <c r="C3151"/>
      <c r="D3151"/>
      <c r="E3151"/>
      <c r="F3151"/>
    </row>
    <row r="3152" spans="1:6">
      <c r="A3152"/>
      <c r="B3152"/>
      <c r="C3152"/>
      <c r="D3152"/>
      <c r="E3152"/>
      <c r="F3152"/>
    </row>
    <row r="3153" spans="1:6">
      <c r="A3153"/>
      <c r="B3153"/>
      <c r="C3153"/>
      <c r="D3153"/>
      <c r="E3153"/>
      <c r="F3153"/>
    </row>
    <row r="3154" spans="1:6">
      <c r="A3154"/>
      <c r="B3154"/>
      <c r="C3154"/>
      <c r="D3154"/>
      <c r="E3154"/>
      <c r="F3154"/>
    </row>
    <row r="3155" spans="1:6">
      <c r="A3155"/>
      <c r="B3155"/>
      <c r="C3155"/>
      <c r="D3155"/>
      <c r="E3155"/>
      <c r="F3155"/>
    </row>
    <row r="3156" spans="1:6">
      <c r="A3156"/>
      <c r="B3156"/>
      <c r="C3156"/>
      <c r="D3156"/>
      <c r="E3156"/>
      <c r="F3156"/>
    </row>
    <row r="3157" spans="1:6">
      <c r="A3157"/>
      <c r="B3157"/>
      <c r="C3157"/>
      <c r="D3157"/>
      <c r="E3157"/>
      <c r="F3157"/>
    </row>
    <row r="3158" spans="1:6">
      <c r="A3158"/>
      <c r="B3158"/>
      <c r="C3158"/>
      <c r="D3158"/>
      <c r="E3158"/>
      <c r="F3158"/>
    </row>
    <row r="3159" spans="1:6">
      <c r="A3159"/>
      <c r="B3159"/>
      <c r="C3159"/>
      <c r="D3159"/>
      <c r="E3159"/>
      <c r="F3159"/>
    </row>
    <row r="3160" spans="1:6">
      <c r="A3160"/>
      <c r="B3160"/>
      <c r="C3160"/>
      <c r="D3160"/>
      <c r="E3160"/>
      <c r="F3160"/>
    </row>
    <row r="3161" spans="1:6">
      <c r="A3161"/>
      <c r="B3161"/>
      <c r="C3161"/>
      <c r="D3161"/>
      <c r="E3161"/>
      <c r="F3161"/>
    </row>
    <row r="3162" spans="1:6">
      <c r="A3162"/>
      <c r="B3162"/>
      <c r="C3162"/>
      <c r="D3162"/>
      <c r="E3162"/>
      <c r="F3162"/>
    </row>
    <row r="3163" spans="1:6">
      <c r="A3163"/>
      <c r="B3163"/>
      <c r="C3163"/>
      <c r="D3163"/>
      <c r="E3163"/>
      <c r="F3163"/>
    </row>
    <row r="3164" spans="1:6">
      <c r="A3164"/>
      <c r="B3164"/>
      <c r="C3164"/>
      <c r="D3164"/>
      <c r="E3164"/>
      <c r="F3164"/>
    </row>
    <row r="3165" spans="1:6">
      <c r="A3165"/>
      <c r="B3165"/>
      <c r="C3165"/>
      <c r="D3165"/>
      <c r="E3165"/>
      <c r="F3165"/>
    </row>
    <row r="3166" spans="1:6">
      <c r="A3166"/>
      <c r="B3166"/>
      <c r="C3166"/>
      <c r="D3166"/>
      <c r="E3166"/>
      <c r="F3166"/>
    </row>
    <row r="3167" spans="1:6">
      <c r="A3167"/>
      <c r="B3167"/>
      <c r="C3167"/>
      <c r="D3167"/>
      <c r="E3167"/>
      <c r="F3167"/>
    </row>
    <row r="3168" spans="1:6">
      <c r="A3168"/>
      <c r="B3168"/>
      <c r="C3168"/>
      <c r="D3168"/>
      <c r="E3168"/>
      <c r="F3168"/>
    </row>
    <row r="3169" spans="1:6">
      <c r="A3169"/>
      <c r="B3169"/>
      <c r="C3169"/>
      <c r="D3169"/>
      <c r="E3169"/>
      <c r="F3169"/>
    </row>
    <row r="3170" spans="1:6">
      <c r="A3170"/>
      <c r="B3170"/>
      <c r="C3170"/>
      <c r="D3170"/>
      <c r="E3170"/>
      <c r="F3170"/>
    </row>
    <row r="3171" spans="1:6">
      <c r="A3171"/>
      <c r="B3171"/>
      <c r="C3171"/>
      <c r="D3171"/>
      <c r="E3171"/>
      <c r="F3171"/>
    </row>
    <row r="3172" spans="1:6">
      <c r="A3172"/>
      <c r="B3172"/>
      <c r="C3172"/>
      <c r="D3172"/>
      <c r="E3172"/>
      <c r="F3172"/>
    </row>
    <row r="3173" spans="1:6">
      <c r="A3173"/>
      <c r="B3173"/>
      <c r="C3173"/>
      <c r="D3173"/>
      <c r="E3173"/>
      <c r="F3173"/>
    </row>
    <row r="3174" spans="1:6">
      <c r="A3174"/>
      <c r="B3174"/>
      <c r="C3174"/>
      <c r="D3174"/>
      <c r="E3174"/>
      <c r="F3174"/>
    </row>
    <row r="3175" spans="1:6">
      <c r="A3175"/>
      <c r="B3175"/>
      <c r="C3175"/>
      <c r="D3175"/>
      <c r="E3175"/>
      <c r="F3175"/>
    </row>
    <row r="3176" spans="1:6">
      <c r="A3176"/>
      <c r="B3176"/>
      <c r="C3176"/>
      <c r="D3176"/>
      <c r="E3176"/>
      <c r="F3176"/>
    </row>
    <row r="3177" spans="1:6">
      <c r="A3177"/>
      <c r="B3177"/>
      <c r="C3177"/>
      <c r="D3177"/>
      <c r="E3177"/>
      <c r="F3177"/>
    </row>
    <row r="3178" spans="1:6">
      <c r="A3178"/>
      <c r="B3178"/>
      <c r="C3178"/>
      <c r="D3178"/>
      <c r="E3178"/>
      <c r="F3178"/>
    </row>
    <row r="3179" spans="1:6">
      <c r="A3179"/>
      <c r="B3179"/>
      <c r="C3179"/>
      <c r="D3179"/>
      <c r="E3179"/>
      <c r="F3179"/>
    </row>
    <row r="3180" spans="1:6">
      <c r="A3180"/>
      <c r="B3180"/>
      <c r="C3180"/>
      <c r="D3180"/>
      <c r="E3180"/>
      <c r="F3180"/>
    </row>
    <row r="3181" spans="1:6">
      <c r="A3181"/>
      <c r="B3181"/>
      <c r="C3181"/>
      <c r="D3181"/>
      <c r="E3181"/>
      <c r="F3181"/>
    </row>
    <row r="3182" spans="1:6">
      <c r="A3182"/>
      <c r="B3182"/>
      <c r="C3182"/>
      <c r="D3182"/>
      <c r="E3182"/>
      <c r="F3182"/>
    </row>
    <row r="3183" spans="1:6">
      <c r="A3183"/>
      <c r="B3183"/>
      <c r="C3183"/>
      <c r="D3183"/>
      <c r="E3183"/>
      <c r="F3183"/>
    </row>
    <row r="3184" spans="1:6">
      <c r="A3184"/>
      <c r="B3184"/>
      <c r="C3184"/>
      <c r="D3184"/>
      <c r="E3184"/>
      <c r="F3184"/>
    </row>
    <row r="3185" spans="1:6">
      <c r="A3185"/>
      <c r="B3185"/>
      <c r="C3185"/>
      <c r="D3185"/>
      <c r="E3185"/>
      <c r="F3185"/>
    </row>
    <row r="3186" spans="1:6">
      <c r="A3186"/>
      <c r="B3186"/>
      <c r="C3186"/>
      <c r="D3186"/>
      <c r="E3186"/>
      <c r="F3186"/>
    </row>
    <row r="3187" spans="1:6">
      <c r="A3187"/>
      <c r="B3187"/>
      <c r="C3187"/>
      <c r="D3187"/>
      <c r="E3187"/>
      <c r="F3187"/>
    </row>
    <row r="3188" spans="1:6">
      <c r="A3188"/>
      <c r="B3188"/>
      <c r="C3188"/>
      <c r="D3188"/>
      <c r="E3188"/>
      <c r="F3188"/>
    </row>
    <row r="3189" spans="1:6">
      <c r="A3189"/>
      <c r="B3189"/>
      <c r="C3189"/>
      <c r="D3189"/>
      <c r="E3189"/>
      <c r="F3189"/>
    </row>
    <row r="3190" spans="1:6">
      <c r="A3190"/>
      <c r="B3190"/>
      <c r="C3190"/>
      <c r="D3190"/>
      <c r="E3190"/>
      <c r="F3190"/>
    </row>
    <row r="3191" spans="1:6">
      <c r="A3191"/>
      <c r="B3191"/>
      <c r="C3191"/>
      <c r="D3191"/>
      <c r="E3191"/>
      <c r="F3191"/>
    </row>
    <row r="3192" spans="1:6">
      <c r="A3192"/>
      <c r="B3192"/>
      <c r="C3192"/>
      <c r="D3192"/>
      <c r="E3192"/>
      <c r="F3192"/>
    </row>
    <row r="3193" spans="1:6">
      <c r="A3193"/>
      <c r="B3193"/>
      <c r="C3193"/>
      <c r="D3193"/>
      <c r="E3193"/>
      <c r="F3193"/>
    </row>
    <row r="3194" spans="1:6">
      <c r="A3194"/>
      <c r="B3194"/>
      <c r="C3194"/>
      <c r="D3194"/>
      <c r="E3194"/>
      <c r="F3194"/>
    </row>
    <row r="3195" spans="1:6">
      <c r="A3195"/>
      <c r="B3195"/>
      <c r="C3195"/>
      <c r="D3195"/>
      <c r="E3195"/>
      <c r="F3195"/>
    </row>
    <row r="3196" spans="1:6">
      <c r="A3196"/>
      <c r="B3196"/>
      <c r="C3196"/>
      <c r="D3196"/>
      <c r="E3196"/>
      <c r="F3196"/>
    </row>
    <row r="3197" spans="1:6">
      <c r="A3197"/>
      <c r="B3197"/>
      <c r="C3197"/>
      <c r="D3197"/>
      <c r="E3197"/>
      <c r="F3197"/>
    </row>
    <row r="3198" spans="1:6">
      <c r="A3198"/>
      <c r="B3198"/>
      <c r="C3198"/>
      <c r="D3198"/>
      <c r="E3198"/>
      <c r="F3198"/>
    </row>
    <row r="3199" spans="1:6">
      <c r="A3199"/>
      <c r="B3199"/>
      <c r="C3199"/>
      <c r="D3199"/>
      <c r="E3199"/>
      <c r="F3199"/>
    </row>
    <row r="3200" spans="1:6">
      <c r="A3200"/>
      <c r="B3200"/>
      <c r="C3200"/>
      <c r="D3200"/>
      <c r="E3200"/>
      <c r="F3200"/>
    </row>
    <row r="3201" spans="1:6">
      <c r="A3201"/>
      <c r="B3201"/>
      <c r="C3201"/>
      <c r="D3201"/>
      <c r="E3201"/>
      <c r="F3201"/>
    </row>
    <row r="3202" spans="1:6">
      <c r="A3202"/>
      <c r="B3202"/>
      <c r="C3202"/>
      <c r="D3202"/>
      <c r="E3202"/>
      <c r="F3202"/>
    </row>
    <row r="3203" spans="1:6">
      <c r="A3203"/>
      <c r="B3203"/>
      <c r="C3203"/>
      <c r="D3203"/>
      <c r="E3203"/>
      <c r="F3203"/>
    </row>
    <row r="3204" spans="1:6">
      <c r="A3204"/>
      <c r="B3204"/>
      <c r="C3204"/>
      <c r="D3204"/>
      <c r="E3204"/>
      <c r="F3204"/>
    </row>
    <row r="3205" spans="1:6">
      <c r="A3205"/>
      <c r="B3205"/>
      <c r="C3205"/>
      <c r="D3205"/>
      <c r="E3205"/>
      <c r="F3205"/>
    </row>
    <row r="3206" spans="1:6">
      <c r="A3206"/>
      <c r="B3206"/>
      <c r="C3206"/>
      <c r="D3206"/>
      <c r="E3206"/>
      <c r="F3206"/>
    </row>
    <row r="3207" spans="1:6">
      <c r="A3207"/>
      <c r="B3207"/>
      <c r="C3207"/>
      <c r="D3207"/>
      <c r="E3207"/>
      <c r="F3207"/>
    </row>
    <row r="3208" spans="1:6">
      <c r="A3208"/>
      <c r="B3208"/>
      <c r="C3208"/>
      <c r="D3208"/>
      <c r="E3208"/>
      <c r="F3208"/>
    </row>
    <row r="3209" spans="1:6">
      <c r="A3209"/>
      <c r="B3209"/>
      <c r="C3209"/>
      <c r="D3209"/>
      <c r="E3209"/>
      <c r="F3209"/>
    </row>
    <row r="3210" spans="1:6">
      <c r="A3210"/>
      <c r="B3210"/>
      <c r="C3210"/>
      <c r="D3210"/>
      <c r="E3210"/>
      <c r="F3210"/>
    </row>
    <row r="3211" spans="1:6">
      <c r="A3211"/>
      <c r="B3211"/>
      <c r="C3211"/>
      <c r="D3211"/>
      <c r="E3211"/>
      <c r="F3211"/>
    </row>
    <row r="3212" spans="1:6">
      <c r="A3212"/>
      <c r="B3212"/>
      <c r="C3212"/>
      <c r="D3212"/>
      <c r="E3212"/>
      <c r="F3212"/>
    </row>
    <row r="3213" spans="1:6">
      <c r="A3213"/>
      <c r="B3213"/>
      <c r="C3213"/>
      <c r="D3213"/>
      <c r="E3213"/>
      <c r="F3213"/>
    </row>
    <row r="3214" spans="1:6">
      <c r="A3214"/>
      <c r="B3214"/>
      <c r="C3214"/>
      <c r="D3214"/>
      <c r="E3214"/>
      <c r="F3214"/>
    </row>
    <row r="3215" spans="1:6">
      <c r="A3215"/>
      <c r="B3215"/>
      <c r="C3215"/>
      <c r="D3215"/>
      <c r="E3215"/>
      <c r="F3215"/>
    </row>
    <row r="3216" spans="1:6">
      <c r="A3216"/>
      <c r="B3216"/>
      <c r="C3216"/>
      <c r="D3216"/>
      <c r="E3216"/>
      <c r="F3216"/>
    </row>
    <row r="3217" spans="1:6">
      <c r="A3217"/>
      <c r="B3217"/>
      <c r="C3217"/>
      <c r="D3217"/>
      <c r="E3217"/>
      <c r="F3217"/>
    </row>
    <row r="3218" spans="1:6">
      <c r="A3218"/>
      <c r="B3218"/>
      <c r="C3218"/>
      <c r="D3218"/>
      <c r="E3218"/>
      <c r="F3218"/>
    </row>
    <row r="3219" spans="1:6">
      <c r="A3219"/>
      <c r="B3219"/>
      <c r="C3219"/>
      <c r="D3219"/>
      <c r="E3219"/>
      <c r="F3219"/>
    </row>
    <row r="3220" spans="1:6">
      <c r="A3220"/>
      <c r="B3220"/>
      <c r="C3220"/>
      <c r="D3220"/>
      <c r="E3220"/>
      <c r="F3220"/>
    </row>
    <row r="3221" spans="1:6">
      <c r="A3221"/>
      <c r="B3221"/>
      <c r="C3221"/>
      <c r="D3221"/>
      <c r="E3221"/>
      <c r="F3221"/>
    </row>
    <row r="3222" spans="1:6">
      <c r="A3222"/>
      <c r="B3222"/>
      <c r="C3222"/>
      <c r="D3222"/>
      <c r="E3222"/>
      <c r="F3222"/>
    </row>
    <row r="3223" spans="1:6">
      <c r="A3223"/>
      <c r="B3223"/>
      <c r="C3223"/>
      <c r="D3223"/>
      <c r="E3223"/>
      <c r="F3223"/>
    </row>
    <row r="3224" spans="1:6">
      <c r="A3224"/>
      <c r="B3224"/>
      <c r="C3224"/>
      <c r="D3224"/>
      <c r="E3224"/>
      <c r="F3224"/>
    </row>
    <row r="3225" spans="1:6">
      <c r="A3225"/>
      <c r="B3225"/>
      <c r="C3225"/>
      <c r="D3225"/>
      <c r="E3225"/>
      <c r="F3225"/>
    </row>
    <row r="3226" spans="1:6">
      <c r="A3226"/>
      <c r="B3226"/>
      <c r="C3226"/>
      <c r="D3226"/>
      <c r="E3226"/>
      <c r="F3226"/>
    </row>
    <row r="3227" spans="1:6">
      <c r="A3227"/>
      <c r="B3227"/>
      <c r="C3227"/>
      <c r="D3227"/>
      <c r="E3227"/>
      <c r="F3227"/>
    </row>
    <row r="3228" spans="1:6">
      <c r="A3228"/>
      <c r="B3228"/>
      <c r="C3228"/>
      <c r="D3228"/>
      <c r="E3228"/>
      <c r="F3228"/>
    </row>
    <row r="3229" spans="1:6">
      <c r="A3229"/>
      <c r="B3229"/>
      <c r="C3229"/>
      <c r="D3229"/>
      <c r="E3229"/>
      <c r="F3229"/>
    </row>
    <row r="3230" spans="1:6">
      <c r="A3230"/>
      <c r="B3230"/>
      <c r="C3230"/>
      <c r="D3230"/>
      <c r="E3230"/>
      <c r="F3230"/>
    </row>
    <row r="3231" spans="1:6">
      <c r="A3231"/>
      <c r="B3231"/>
      <c r="C3231"/>
      <c r="D3231"/>
      <c r="E3231"/>
      <c r="F3231"/>
    </row>
    <row r="3232" spans="1:6">
      <c r="A3232"/>
      <c r="B3232"/>
      <c r="C3232"/>
      <c r="D3232"/>
      <c r="E3232"/>
      <c r="F3232"/>
    </row>
    <row r="3233" spans="1:6">
      <c r="A3233"/>
      <c r="B3233"/>
      <c r="C3233"/>
      <c r="D3233"/>
      <c r="E3233"/>
      <c r="F3233"/>
    </row>
    <row r="3234" spans="1:6">
      <c r="A3234"/>
      <c r="B3234"/>
      <c r="C3234"/>
      <c r="D3234"/>
      <c r="E3234"/>
      <c r="F3234"/>
    </row>
    <row r="3235" spans="1:6">
      <c r="A3235"/>
      <c r="B3235"/>
      <c r="C3235"/>
      <c r="D3235"/>
      <c r="E3235"/>
      <c r="F3235"/>
    </row>
    <row r="3236" spans="1:6">
      <c r="A3236"/>
      <c r="B3236"/>
      <c r="C3236"/>
      <c r="D3236"/>
      <c r="E3236"/>
      <c r="F3236"/>
    </row>
    <row r="3237" spans="1:6">
      <c r="A3237"/>
      <c r="B3237"/>
      <c r="C3237"/>
      <c r="D3237"/>
      <c r="E3237"/>
      <c r="F3237"/>
    </row>
    <row r="3238" spans="1:6">
      <c r="A3238"/>
      <c r="B3238"/>
      <c r="C3238"/>
      <c r="D3238"/>
      <c r="E3238"/>
      <c r="F3238"/>
    </row>
    <row r="3239" spans="1:6">
      <c r="A3239"/>
      <c r="B3239"/>
      <c r="C3239"/>
      <c r="D3239"/>
      <c r="E3239"/>
      <c r="F3239"/>
    </row>
    <row r="3240" spans="1:6">
      <c r="A3240"/>
      <c r="B3240"/>
      <c r="C3240"/>
      <c r="D3240"/>
      <c r="E3240"/>
      <c r="F3240"/>
    </row>
    <row r="3241" spans="1:6">
      <c r="A3241"/>
      <c r="B3241"/>
      <c r="C3241"/>
      <c r="D3241"/>
      <c r="E3241"/>
      <c r="F3241"/>
    </row>
    <row r="3242" spans="1:6">
      <c r="A3242"/>
      <c r="B3242"/>
      <c r="C3242"/>
      <c r="D3242"/>
      <c r="E3242"/>
      <c r="F3242"/>
    </row>
    <row r="3243" spans="1:6">
      <c r="A3243"/>
      <c r="B3243"/>
      <c r="C3243"/>
      <c r="D3243"/>
      <c r="E3243"/>
      <c r="F3243"/>
    </row>
    <row r="3244" spans="1:6">
      <c r="A3244"/>
      <c r="B3244"/>
      <c r="C3244"/>
      <c r="D3244"/>
      <c r="E3244"/>
      <c r="F3244"/>
    </row>
    <row r="3245" spans="1:6">
      <c r="A3245"/>
      <c r="B3245"/>
      <c r="C3245"/>
      <c r="D3245"/>
      <c r="E3245"/>
      <c r="F3245"/>
    </row>
    <row r="3246" spans="1:6">
      <c r="A3246"/>
      <c r="B3246"/>
      <c r="C3246"/>
      <c r="D3246"/>
      <c r="E3246"/>
      <c r="F3246"/>
    </row>
    <row r="3247" spans="1:6">
      <c r="A3247"/>
      <c r="B3247"/>
      <c r="C3247"/>
      <c r="D3247"/>
      <c r="E3247"/>
      <c r="F3247"/>
    </row>
    <row r="3248" spans="1:6">
      <c r="A3248"/>
      <c r="B3248"/>
      <c r="C3248"/>
      <c r="D3248"/>
      <c r="E3248"/>
      <c r="F3248"/>
    </row>
    <row r="3249" spans="1:6">
      <c r="A3249"/>
      <c r="B3249"/>
      <c r="C3249"/>
      <c r="D3249"/>
      <c r="E3249"/>
      <c r="F3249"/>
    </row>
    <row r="3250" spans="1:6">
      <c r="A3250"/>
      <c r="B3250"/>
      <c r="C3250"/>
      <c r="D3250"/>
      <c r="E3250"/>
      <c r="F3250"/>
    </row>
    <row r="3251" spans="1:6">
      <c r="A3251"/>
      <c r="B3251"/>
      <c r="C3251"/>
      <c r="D3251"/>
      <c r="E3251"/>
      <c r="F3251"/>
    </row>
    <row r="3252" spans="1:6">
      <c r="A3252"/>
      <c r="B3252"/>
      <c r="C3252"/>
      <c r="D3252"/>
      <c r="E3252"/>
      <c r="F3252"/>
    </row>
    <row r="3253" spans="1:6">
      <c r="A3253"/>
      <c r="B3253"/>
      <c r="C3253"/>
      <c r="D3253"/>
      <c r="E3253"/>
      <c r="F3253"/>
    </row>
    <row r="3254" spans="1:6">
      <c r="A3254"/>
      <c r="B3254"/>
      <c r="C3254"/>
      <c r="D3254"/>
      <c r="E3254"/>
      <c r="F3254"/>
    </row>
    <row r="3255" spans="1:6">
      <c r="A3255"/>
      <c r="B3255"/>
      <c r="C3255"/>
      <c r="D3255"/>
      <c r="E3255"/>
      <c r="F3255"/>
    </row>
    <row r="3256" spans="1:6">
      <c r="A3256"/>
      <c r="B3256"/>
      <c r="C3256"/>
      <c r="D3256"/>
      <c r="E3256"/>
      <c r="F3256"/>
    </row>
    <row r="3257" spans="1:6">
      <c r="A3257"/>
      <c r="B3257"/>
      <c r="C3257"/>
      <c r="D3257"/>
      <c r="E3257"/>
      <c r="F3257"/>
    </row>
    <row r="3258" spans="1:6">
      <c r="A3258"/>
      <c r="B3258"/>
      <c r="C3258"/>
      <c r="D3258"/>
      <c r="E3258"/>
      <c r="F3258"/>
    </row>
    <row r="3259" spans="1:6">
      <c r="A3259"/>
      <c r="B3259"/>
      <c r="C3259"/>
      <c r="D3259"/>
      <c r="E3259"/>
      <c r="F3259"/>
    </row>
    <row r="3260" spans="1:6">
      <c r="A3260"/>
      <c r="B3260"/>
      <c r="C3260"/>
      <c r="D3260"/>
      <c r="E3260"/>
      <c r="F3260"/>
    </row>
    <row r="3261" spans="1:6">
      <c r="A3261"/>
      <c r="B3261"/>
      <c r="C3261"/>
      <c r="D3261"/>
      <c r="E3261"/>
      <c r="F3261"/>
    </row>
    <row r="3262" spans="1:6">
      <c r="A3262"/>
      <c r="B3262"/>
      <c r="C3262"/>
      <c r="D3262"/>
      <c r="E3262"/>
      <c r="F3262"/>
    </row>
    <row r="3263" spans="1:6">
      <c r="A3263"/>
      <c r="B3263"/>
      <c r="C3263"/>
      <c r="D3263"/>
      <c r="E3263"/>
      <c r="F3263"/>
    </row>
    <row r="3264" spans="1:6">
      <c r="A3264"/>
      <c r="B3264"/>
      <c r="C3264"/>
      <c r="D3264"/>
      <c r="E3264"/>
      <c r="F3264"/>
    </row>
    <row r="3265" spans="1:6">
      <c r="A3265"/>
      <c r="B3265"/>
      <c r="C3265"/>
      <c r="D3265"/>
      <c r="E3265"/>
      <c r="F3265"/>
    </row>
    <row r="3266" spans="1:6">
      <c r="A3266"/>
      <c r="B3266"/>
      <c r="C3266"/>
      <c r="D3266"/>
      <c r="E3266"/>
      <c r="F3266"/>
    </row>
    <row r="3267" spans="1:6">
      <c r="A3267"/>
      <c r="B3267"/>
      <c r="C3267"/>
      <c r="D3267"/>
      <c r="E3267"/>
      <c r="F3267"/>
    </row>
    <row r="3268" spans="1:6">
      <c r="A3268"/>
      <c r="B3268"/>
      <c r="C3268"/>
      <c r="D3268"/>
      <c r="E3268"/>
      <c r="F3268"/>
    </row>
    <row r="3269" spans="1:6">
      <c r="A3269"/>
      <c r="B3269"/>
      <c r="C3269"/>
      <c r="D3269"/>
      <c r="E3269"/>
      <c r="F3269"/>
    </row>
    <row r="3270" spans="1:6">
      <c r="A3270"/>
      <c r="B3270"/>
      <c r="C3270"/>
      <c r="D3270"/>
      <c r="E3270"/>
      <c r="F3270"/>
    </row>
    <row r="3271" spans="1:6">
      <c r="A3271"/>
      <c r="B3271"/>
      <c r="C3271"/>
      <c r="D3271"/>
      <c r="E3271"/>
      <c r="F3271"/>
    </row>
    <row r="3272" spans="1:6">
      <c r="A3272"/>
      <c r="B3272"/>
      <c r="C3272"/>
      <c r="D3272"/>
      <c r="E3272"/>
      <c r="F3272"/>
    </row>
    <row r="3273" spans="1:6">
      <c r="A3273"/>
      <c r="B3273"/>
      <c r="C3273"/>
      <c r="D3273"/>
      <c r="E3273"/>
      <c r="F3273"/>
    </row>
    <row r="3274" spans="1:6">
      <c r="A3274"/>
      <c r="B3274"/>
      <c r="C3274"/>
      <c r="D3274"/>
      <c r="E3274"/>
      <c r="F3274"/>
    </row>
    <row r="3275" spans="1:6">
      <c r="A3275"/>
      <c r="B3275"/>
      <c r="C3275"/>
      <c r="D3275"/>
      <c r="E3275"/>
      <c r="F3275"/>
    </row>
    <row r="3276" spans="1:6">
      <c r="A3276"/>
      <c r="B3276"/>
      <c r="C3276"/>
      <c r="D3276"/>
      <c r="E3276"/>
      <c r="F3276"/>
    </row>
    <row r="3277" spans="1:6">
      <c r="A3277"/>
      <c r="B3277"/>
      <c r="C3277"/>
      <c r="D3277"/>
      <c r="E3277"/>
      <c r="F3277"/>
    </row>
    <row r="3278" spans="1:6">
      <c r="A3278"/>
      <c r="B3278"/>
      <c r="C3278"/>
      <c r="D3278"/>
      <c r="E3278"/>
      <c r="F3278"/>
    </row>
    <row r="3279" spans="1:6">
      <c r="A3279"/>
      <c r="B3279"/>
      <c r="C3279"/>
      <c r="D3279"/>
      <c r="E3279"/>
      <c r="F3279"/>
    </row>
    <row r="3280" spans="1:6">
      <c r="A3280"/>
      <c r="B3280"/>
      <c r="C3280"/>
      <c r="D3280"/>
      <c r="E3280"/>
      <c r="F3280"/>
    </row>
    <row r="3281" spans="1:6">
      <c r="A3281"/>
      <c r="B3281"/>
      <c r="C3281"/>
      <c r="D3281"/>
      <c r="E3281"/>
      <c r="F3281"/>
    </row>
    <row r="3282" spans="1:6">
      <c r="A3282"/>
      <c r="B3282"/>
      <c r="C3282"/>
      <c r="D3282"/>
      <c r="E3282"/>
      <c r="F3282"/>
    </row>
    <row r="3283" spans="1:6">
      <c r="A3283"/>
      <c r="B3283"/>
      <c r="C3283"/>
      <c r="D3283"/>
      <c r="E3283"/>
      <c r="F3283"/>
    </row>
    <row r="3284" spans="1:6">
      <c r="A3284"/>
      <c r="B3284"/>
      <c r="C3284"/>
      <c r="D3284"/>
      <c r="E3284"/>
      <c r="F3284"/>
    </row>
    <row r="3285" spans="1:6">
      <c r="A3285"/>
      <c r="B3285"/>
      <c r="C3285"/>
      <c r="D3285"/>
      <c r="E3285"/>
      <c r="F3285"/>
    </row>
    <row r="3286" spans="1:6">
      <c r="A3286"/>
      <c r="B3286"/>
      <c r="C3286"/>
      <c r="D3286"/>
      <c r="E3286"/>
      <c r="F3286"/>
    </row>
    <row r="3287" spans="1:6">
      <c r="A3287"/>
      <c r="B3287"/>
      <c r="C3287"/>
      <c r="D3287"/>
      <c r="E3287"/>
      <c r="F3287"/>
    </row>
    <row r="3288" spans="1:6">
      <c r="A3288"/>
      <c r="B3288"/>
      <c r="C3288"/>
      <c r="D3288"/>
      <c r="E3288"/>
      <c r="F3288"/>
    </row>
    <row r="3289" spans="1:6">
      <c r="A3289"/>
      <c r="B3289"/>
      <c r="C3289"/>
      <c r="D3289"/>
      <c r="E3289"/>
      <c r="F3289"/>
    </row>
    <row r="3290" spans="1:6">
      <c r="A3290"/>
      <c r="B3290"/>
      <c r="C3290"/>
      <c r="D3290"/>
      <c r="E3290"/>
      <c r="F3290"/>
    </row>
    <row r="3291" spans="1:6">
      <c r="A3291"/>
      <c r="B3291"/>
      <c r="C3291"/>
      <c r="D3291"/>
      <c r="E3291"/>
      <c r="F3291"/>
    </row>
    <row r="3292" spans="1:6">
      <c r="A3292"/>
      <c r="B3292"/>
      <c r="C3292"/>
      <c r="D3292"/>
      <c r="E3292"/>
      <c r="F3292"/>
    </row>
    <row r="3293" spans="1:6">
      <c r="A3293"/>
      <c r="B3293"/>
      <c r="C3293"/>
      <c r="D3293"/>
      <c r="E3293"/>
      <c r="F3293"/>
    </row>
    <row r="3294" spans="1:6">
      <c r="A3294"/>
      <c r="B3294"/>
      <c r="C3294"/>
      <c r="D3294"/>
      <c r="E3294"/>
      <c r="F3294"/>
    </row>
    <row r="3295" spans="1:6">
      <c r="A3295"/>
      <c r="B3295"/>
      <c r="C3295"/>
      <c r="D3295"/>
      <c r="E3295"/>
      <c r="F3295"/>
    </row>
    <row r="3296" spans="1:6">
      <c r="A3296"/>
      <c r="B3296"/>
      <c r="C3296"/>
      <c r="D3296"/>
      <c r="E3296"/>
      <c r="F3296"/>
    </row>
    <row r="3297" spans="1:6">
      <c r="A3297"/>
      <c r="B3297"/>
      <c r="C3297"/>
      <c r="D3297"/>
      <c r="E3297"/>
      <c r="F3297"/>
    </row>
    <row r="3298" spans="1:6">
      <c r="A3298"/>
      <c r="B3298"/>
      <c r="C3298"/>
      <c r="D3298"/>
      <c r="E3298"/>
      <c r="F3298"/>
    </row>
    <row r="3299" spans="1:6">
      <c r="A3299"/>
      <c r="B3299"/>
      <c r="C3299"/>
      <c r="D3299"/>
      <c r="E3299"/>
      <c r="F3299"/>
    </row>
    <row r="3300" spans="1:6">
      <c r="A3300"/>
      <c r="B3300"/>
      <c r="C3300"/>
      <c r="D3300"/>
      <c r="E3300"/>
      <c r="F3300"/>
    </row>
    <row r="3301" spans="1:6">
      <c r="A3301"/>
      <c r="B3301"/>
      <c r="C3301"/>
      <c r="D3301"/>
      <c r="E3301"/>
      <c r="F3301"/>
    </row>
    <row r="3302" spans="1:6">
      <c r="A3302"/>
      <c r="B3302"/>
      <c r="C3302"/>
      <c r="D3302"/>
      <c r="E3302"/>
      <c r="F3302"/>
    </row>
    <row r="3303" spans="1:6">
      <c r="A3303"/>
      <c r="B3303"/>
      <c r="C3303"/>
      <c r="D3303"/>
      <c r="E3303"/>
      <c r="F3303"/>
    </row>
    <row r="3304" spans="1:6">
      <c r="A3304"/>
      <c r="B3304"/>
      <c r="C3304"/>
      <c r="D3304"/>
      <c r="E3304"/>
      <c r="F3304"/>
    </row>
    <row r="3305" spans="1:6">
      <c r="A3305"/>
      <c r="B3305"/>
      <c r="C3305"/>
      <c r="D3305"/>
      <c r="E3305"/>
      <c r="F3305"/>
    </row>
    <row r="3306" spans="1:6">
      <c r="A3306"/>
      <c r="B3306"/>
      <c r="C3306"/>
      <c r="D3306"/>
      <c r="E3306"/>
      <c r="F3306"/>
    </row>
    <row r="3307" spans="1:6">
      <c r="A3307"/>
      <c r="B3307"/>
      <c r="C3307"/>
      <c r="D3307"/>
      <c r="E3307"/>
      <c r="F3307"/>
    </row>
    <row r="3308" spans="1:6">
      <c r="A3308"/>
      <c r="B3308"/>
      <c r="C3308"/>
      <c r="D3308"/>
      <c r="E3308"/>
      <c r="F3308"/>
    </row>
    <row r="3309" spans="1:6">
      <c r="A3309"/>
      <c r="B3309"/>
      <c r="C3309"/>
      <c r="D3309"/>
      <c r="E3309"/>
      <c r="F3309"/>
    </row>
    <row r="3310" spans="1:6">
      <c r="A3310"/>
      <c r="B3310"/>
      <c r="C3310"/>
      <c r="D3310"/>
      <c r="E3310"/>
      <c r="F3310"/>
    </row>
    <row r="3311" spans="1:6">
      <c r="A3311"/>
      <c r="B3311"/>
      <c r="C3311"/>
      <c r="D3311"/>
      <c r="E3311"/>
      <c r="F3311"/>
    </row>
    <row r="3312" spans="1:6">
      <c r="A3312"/>
      <c r="B3312"/>
      <c r="C3312"/>
      <c r="D3312"/>
      <c r="E3312"/>
      <c r="F3312"/>
    </row>
    <row r="3313" spans="1:6">
      <c r="A3313"/>
      <c r="B3313"/>
      <c r="C3313"/>
      <c r="D3313"/>
      <c r="E3313"/>
      <c r="F3313"/>
    </row>
    <row r="3314" spans="1:6">
      <c r="A3314"/>
      <c r="B3314"/>
      <c r="C3314"/>
      <c r="D3314"/>
      <c r="E3314"/>
      <c r="F3314"/>
    </row>
    <row r="3315" spans="1:6">
      <c r="A3315"/>
      <c r="B3315"/>
      <c r="C3315"/>
      <c r="D3315"/>
      <c r="E3315"/>
      <c r="F3315"/>
    </row>
    <row r="3316" spans="1:6">
      <c r="A3316"/>
      <c r="B3316"/>
      <c r="C3316"/>
      <c r="D3316"/>
      <c r="E3316"/>
      <c r="F3316"/>
    </row>
    <row r="3317" spans="1:6">
      <c r="A3317"/>
      <c r="B3317"/>
      <c r="C3317"/>
      <c r="D3317"/>
      <c r="E3317"/>
      <c r="F3317"/>
    </row>
    <row r="3318" spans="1:6">
      <c r="A3318"/>
      <c r="B3318"/>
      <c r="C3318"/>
      <c r="D3318"/>
      <c r="E3318"/>
      <c r="F3318"/>
    </row>
    <row r="3319" spans="1:6">
      <c r="A3319"/>
      <c r="B3319"/>
      <c r="C3319"/>
      <c r="D3319"/>
      <c r="E3319"/>
      <c r="F3319"/>
    </row>
    <row r="3320" spans="1:6">
      <c r="A3320"/>
      <c r="B3320"/>
      <c r="C3320"/>
      <c r="D3320"/>
      <c r="E3320"/>
      <c r="F3320"/>
    </row>
    <row r="3321" spans="1:6">
      <c r="A3321"/>
      <c r="B3321"/>
      <c r="C3321"/>
      <c r="D3321"/>
      <c r="E3321"/>
      <c r="F3321"/>
    </row>
    <row r="3322" spans="1:6">
      <c r="A3322"/>
      <c r="B3322"/>
      <c r="C3322"/>
      <c r="D3322"/>
      <c r="E3322"/>
      <c r="F3322"/>
    </row>
    <row r="3323" spans="1:6">
      <c r="A3323"/>
      <c r="B3323"/>
      <c r="C3323"/>
      <c r="D3323"/>
      <c r="E3323"/>
      <c r="F3323"/>
    </row>
    <row r="3324" spans="1:6">
      <c r="A3324"/>
      <c r="B3324"/>
      <c r="C3324"/>
      <c r="D3324"/>
      <c r="E3324"/>
      <c r="F3324"/>
    </row>
    <row r="3325" spans="1:6">
      <c r="A3325"/>
      <c r="B3325"/>
      <c r="C3325"/>
      <c r="D3325"/>
      <c r="E3325"/>
      <c r="F3325"/>
    </row>
    <row r="3326" spans="1:6">
      <c r="A3326"/>
      <c r="B3326"/>
      <c r="C3326"/>
      <c r="D3326"/>
      <c r="E3326"/>
      <c r="F3326"/>
    </row>
    <row r="3327" spans="1:6">
      <c r="A3327"/>
      <c r="B3327"/>
      <c r="C3327"/>
      <c r="D3327"/>
      <c r="E3327"/>
      <c r="F3327"/>
    </row>
    <row r="3328" spans="1:6">
      <c r="A3328"/>
      <c r="B3328"/>
      <c r="C3328"/>
      <c r="D3328"/>
      <c r="E3328"/>
      <c r="F3328"/>
    </row>
    <row r="3329" spans="1:6">
      <c r="A3329"/>
      <c r="B3329"/>
      <c r="C3329"/>
      <c r="D3329"/>
      <c r="E3329"/>
      <c r="F3329"/>
    </row>
    <row r="3330" spans="1:6">
      <c r="A3330"/>
      <c r="B3330"/>
      <c r="C3330"/>
      <c r="D3330"/>
      <c r="E3330"/>
      <c r="F3330"/>
    </row>
    <row r="3331" spans="1:6">
      <c r="A3331"/>
      <c r="B3331"/>
      <c r="C3331"/>
      <c r="D3331"/>
      <c r="E3331"/>
      <c r="F3331"/>
    </row>
    <row r="3332" spans="1:6">
      <c r="A3332"/>
      <c r="B3332"/>
      <c r="C3332"/>
      <c r="D3332"/>
      <c r="E3332"/>
      <c r="F3332"/>
    </row>
    <row r="3333" spans="1:6">
      <c r="A3333"/>
      <c r="B3333"/>
      <c r="C3333"/>
      <c r="D3333"/>
      <c r="E3333"/>
      <c r="F3333"/>
    </row>
    <row r="3334" spans="1:6">
      <c r="A3334"/>
      <c r="B3334"/>
      <c r="C3334"/>
      <c r="D3334"/>
      <c r="E3334"/>
      <c r="F3334"/>
    </row>
    <row r="3335" spans="1:6">
      <c r="A3335"/>
      <c r="B3335"/>
      <c r="C3335"/>
      <c r="D3335"/>
      <c r="E3335"/>
      <c r="F3335"/>
    </row>
    <row r="3336" spans="1:6">
      <c r="A3336"/>
      <c r="B3336"/>
      <c r="C3336"/>
      <c r="D3336"/>
      <c r="E3336"/>
      <c r="F3336"/>
    </row>
    <row r="3337" spans="1:6">
      <c r="A3337"/>
      <c r="B3337"/>
      <c r="C3337"/>
      <c r="D3337"/>
      <c r="E3337"/>
      <c r="F3337"/>
    </row>
    <row r="3338" spans="1:6">
      <c r="A3338"/>
      <c r="B3338"/>
      <c r="C3338"/>
      <c r="D3338"/>
      <c r="E3338"/>
      <c r="F3338"/>
    </row>
    <row r="3339" spans="1:6">
      <c r="A3339"/>
      <c r="B3339"/>
      <c r="C3339"/>
      <c r="D3339"/>
      <c r="E3339"/>
      <c r="F3339"/>
    </row>
    <row r="3340" spans="1:6">
      <c r="A3340"/>
      <c r="B3340"/>
      <c r="C3340"/>
      <c r="D3340"/>
      <c r="E3340"/>
      <c r="F3340"/>
    </row>
    <row r="3341" spans="1:6">
      <c r="A3341"/>
      <c r="B3341"/>
      <c r="C3341"/>
      <c r="D3341"/>
      <c r="E3341"/>
      <c r="F3341"/>
    </row>
    <row r="3342" spans="1:6">
      <c r="A3342"/>
      <c r="B3342"/>
      <c r="C3342"/>
      <c r="D3342"/>
      <c r="E3342"/>
      <c r="F3342"/>
    </row>
    <row r="3343" spans="1:6">
      <c r="A3343"/>
      <c r="B3343"/>
      <c r="C3343"/>
      <c r="D3343"/>
      <c r="E3343"/>
      <c r="F3343"/>
    </row>
    <row r="3344" spans="1:6">
      <c r="A3344"/>
      <c r="B3344"/>
      <c r="C3344"/>
      <c r="D3344"/>
      <c r="E3344"/>
      <c r="F3344"/>
    </row>
    <row r="3345" spans="1:6">
      <c r="A3345"/>
      <c r="B3345"/>
      <c r="C3345"/>
      <c r="D3345"/>
      <c r="E3345"/>
      <c r="F3345"/>
    </row>
    <row r="3346" spans="1:6">
      <c r="A3346"/>
      <c r="B3346"/>
      <c r="C3346"/>
      <c r="D3346"/>
      <c r="E3346"/>
      <c r="F3346"/>
    </row>
    <row r="3347" spans="1:6">
      <c r="A3347"/>
      <c r="B3347"/>
      <c r="C3347"/>
      <c r="D3347"/>
      <c r="E3347"/>
      <c r="F3347"/>
    </row>
    <row r="3348" spans="1:6">
      <c r="A3348"/>
      <c r="B3348"/>
      <c r="C3348"/>
      <c r="D3348"/>
      <c r="E3348"/>
      <c r="F3348"/>
    </row>
    <row r="3349" spans="1:6">
      <c r="A3349"/>
      <c r="B3349"/>
      <c r="C3349"/>
      <c r="D3349"/>
      <c r="E3349"/>
      <c r="F3349"/>
    </row>
    <row r="3350" spans="1:6">
      <c r="A3350"/>
      <c r="B3350"/>
      <c r="C3350"/>
      <c r="D3350"/>
      <c r="E3350"/>
      <c r="F3350"/>
    </row>
    <row r="3351" spans="1:6">
      <c r="A3351"/>
      <c r="B3351"/>
      <c r="C3351"/>
      <c r="D3351"/>
      <c r="E3351"/>
      <c r="F3351"/>
    </row>
    <row r="3352" spans="1:6">
      <c r="A3352"/>
      <c r="B3352"/>
      <c r="C3352"/>
      <c r="D3352"/>
      <c r="E3352"/>
      <c r="F3352"/>
    </row>
    <row r="3353" spans="1:6">
      <c r="A3353"/>
      <c r="B3353"/>
      <c r="C3353"/>
      <c r="D3353"/>
      <c r="E3353"/>
      <c r="F3353"/>
    </row>
    <row r="3354" spans="1:6">
      <c r="A3354"/>
      <c r="B3354"/>
      <c r="C3354"/>
      <c r="D3354"/>
      <c r="E3354"/>
      <c r="F3354"/>
    </row>
    <row r="3355" spans="1:6">
      <c r="A3355"/>
      <c r="B3355"/>
      <c r="C3355"/>
      <c r="D3355"/>
      <c r="E3355"/>
      <c r="F3355"/>
    </row>
    <row r="3356" spans="1:6">
      <c r="A3356"/>
      <c r="B3356"/>
      <c r="C3356"/>
      <c r="D3356"/>
      <c r="E3356"/>
      <c r="F3356"/>
    </row>
    <row r="3357" spans="1:6">
      <c r="A3357"/>
      <c r="B3357"/>
      <c r="C3357"/>
      <c r="D3357"/>
      <c r="E3357"/>
      <c r="F3357"/>
    </row>
    <row r="3358" spans="1:6">
      <c r="A3358"/>
      <c r="B3358"/>
      <c r="C3358"/>
      <c r="D3358"/>
      <c r="E3358"/>
      <c r="F3358"/>
    </row>
    <row r="3359" spans="1:6">
      <c r="A3359"/>
      <c r="B3359"/>
      <c r="C3359"/>
      <c r="D3359"/>
      <c r="E3359"/>
      <c r="F3359"/>
    </row>
    <row r="3360" spans="1:6">
      <c r="A3360"/>
      <c r="B3360"/>
      <c r="C3360"/>
      <c r="D3360"/>
      <c r="E3360"/>
      <c r="F3360"/>
    </row>
    <row r="3361" spans="1:6">
      <c r="A3361"/>
      <c r="B3361"/>
      <c r="C3361"/>
      <c r="D3361"/>
      <c r="E3361"/>
      <c r="F3361"/>
    </row>
    <row r="3362" spans="1:6">
      <c r="A3362"/>
      <c r="B3362"/>
      <c r="C3362"/>
      <c r="D3362"/>
      <c r="E3362"/>
      <c r="F3362"/>
    </row>
    <row r="3363" spans="1:6">
      <c r="A3363"/>
      <c r="B3363"/>
      <c r="C3363"/>
      <c r="D3363"/>
      <c r="E3363"/>
      <c r="F3363"/>
    </row>
    <row r="3364" spans="1:6">
      <c r="A3364"/>
      <c r="B3364"/>
      <c r="C3364"/>
      <c r="D3364"/>
      <c r="E3364"/>
      <c r="F3364"/>
    </row>
    <row r="3365" spans="1:6">
      <c r="A3365"/>
      <c r="B3365"/>
      <c r="C3365"/>
      <c r="D3365"/>
      <c r="E3365"/>
      <c r="F3365"/>
    </row>
    <row r="3366" spans="1:6">
      <c r="A3366"/>
      <c r="B3366"/>
      <c r="C3366"/>
      <c r="D3366"/>
      <c r="E3366"/>
      <c r="F3366"/>
    </row>
    <row r="3367" spans="1:6">
      <c r="A3367"/>
      <c r="B3367"/>
      <c r="C3367"/>
      <c r="D3367"/>
      <c r="E3367"/>
      <c r="F3367"/>
    </row>
    <row r="3368" spans="1:6">
      <c r="A3368"/>
      <c r="B3368"/>
      <c r="C3368"/>
      <c r="D3368"/>
      <c r="E3368"/>
      <c r="F3368"/>
    </row>
    <row r="3369" spans="1:6">
      <c r="A3369"/>
      <c r="B3369"/>
      <c r="C3369"/>
      <c r="D3369"/>
      <c r="E3369"/>
      <c r="F3369"/>
    </row>
    <row r="3370" spans="1:6">
      <c r="A3370"/>
      <c r="B3370"/>
      <c r="C3370"/>
      <c r="D3370"/>
      <c r="E3370"/>
      <c r="F3370"/>
    </row>
    <row r="3371" spans="1:6">
      <c r="A3371"/>
      <c r="B3371"/>
      <c r="C3371"/>
      <c r="D3371"/>
      <c r="E3371"/>
      <c r="F3371"/>
    </row>
    <row r="3372" spans="1:6">
      <c r="A3372"/>
      <c r="B3372"/>
      <c r="C3372"/>
      <c r="D3372"/>
      <c r="E3372"/>
      <c r="F3372"/>
    </row>
    <row r="3373" spans="1:6">
      <c r="A3373"/>
      <c r="B3373"/>
      <c r="C3373"/>
      <c r="D3373"/>
      <c r="E3373"/>
      <c r="F3373"/>
    </row>
    <row r="3374" spans="1:6">
      <c r="A3374"/>
      <c r="B3374"/>
      <c r="C3374"/>
      <c r="D3374"/>
      <c r="E3374"/>
      <c r="F3374"/>
    </row>
    <row r="3375" spans="1:6">
      <c r="A3375"/>
      <c r="B3375"/>
      <c r="C3375"/>
      <c r="D3375"/>
      <c r="E3375"/>
      <c r="F3375"/>
    </row>
    <row r="3376" spans="1:6">
      <c r="A3376"/>
      <c r="B3376"/>
      <c r="C3376"/>
      <c r="D3376"/>
      <c r="E3376"/>
      <c r="F3376"/>
    </row>
    <row r="3377" spans="1:6">
      <c r="A3377"/>
      <c r="B3377"/>
      <c r="C3377"/>
      <c r="D3377"/>
      <c r="E3377"/>
      <c r="F3377"/>
    </row>
    <row r="3378" spans="1:6">
      <c r="A3378"/>
      <c r="B3378"/>
      <c r="C3378"/>
      <c r="D3378"/>
      <c r="E3378"/>
      <c r="F3378"/>
    </row>
    <row r="3379" spans="1:6">
      <c r="A3379"/>
      <c r="B3379"/>
      <c r="C3379"/>
      <c r="D3379"/>
      <c r="E3379"/>
      <c r="F3379"/>
    </row>
    <row r="3380" spans="1:6">
      <c r="A3380"/>
      <c r="B3380"/>
      <c r="C3380"/>
      <c r="D3380"/>
      <c r="E3380"/>
      <c r="F3380"/>
    </row>
    <row r="3381" spans="1:6">
      <c r="A3381"/>
      <c r="B3381"/>
      <c r="C3381"/>
      <c r="D3381"/>
      <c r="E3381"/>
      <c r="F3381"/>
    </row>
    <row r="3382" spans="1:6">
      <c r="A3382"/>
      <c r="B3382"/>
      <c r="C3382"/>
      <c r="D3382"/>
      <c r="E3382"/>
      <c r="F3382"/>
    </row>
    <row r="3383" spans="1:6">
      <c r="A3383"/>
      <c r="B3383"/>
      <c r="C3383"/>
      <c r="D3383"/>
      <c r="E3383"/>
      <c r="F3383"/>
    </row>
    <row r="3384" spans="1:6">
      <c r="A3384"/>
      <c r="B3384"/>
      <c r="C3384"/>
      <c r="D3384"/>
      <c r="E3384"/>
      <c r="F3384"/>
    </row>
    <row r="3385" spans="1:6">
      <c r="A3385"/>
      <c r="B3385"/>
      <c r="C3385"/>
      <c r="D3385"/>
      <c r="E3385"/>
      <c r="F3385"/>
    </row>
    <row r="3386" spans="1:6">
      <c r="A3386"/>
      <c r="B3386"/>
      <c r="C3386"/>
      <c r="D3386"/>
      <c r="E3386"/>
      <c r="F3386"/>
    </row>
    <row r="3387" spans="1:6">
      <c r="A3387"/>
      <c r="B3387"/>
      <c r="C3387"/>
      <c r="D3387"/>
      <c r="E3387"/>
      <c r="F3387"/>
    </row>
    <row r="3388" spans="1:6">
      <c r="A3388"/>
      <c r="B3388"/>
      <c r="C3388"/>
      <c r="D3388"/>
      <c r="E3388"/>
      <c r="F3388"/>
    </row>
    <row r="3389" spans="1:6">
      <c r="A3389"/>
      <c r="B3389"/>
      <c r="C3389"/>
      <c r="D3389"/>
      <c r="E3389"/>
      <c r="F3389"/>
    </row>
    <row r="3390" spans="1:6">
      <c r="A3390"/>
      <c r="B3390"/>
      <c r="C3390"/>
      <c r="D3390"/>
      <c r="E3390"/>
      <c r="F3390"/>
    </row>
    <row r="3391" spans="1:6">
      <c r="A3391"/>
      <c r="B3391"/>
      <c r="C3391"/>
      <c r="D3391"/>
      <c r="E3391"/>
      <c r="F3391"/>
    </row>
    <row r="3392" spans="1:6">
      <c r="A3392"/>
      <c r="B3392"/>
      <c r="C3392"/>
      <c r="D3392"/>
      <c r="E3392"/>
      <c r="F3392"/>
    </row>
    <row r="3393" spans="1:6">
      <c r="A3393"/>
      <c r="B3393"/>
      <c r="C3393"/>
      <c r="D3393"/>
      <c r="E3393"/>
      <c r="F3393"/>
    </row>
    <row r="3394" spans="1:6">
      <c r="A3394"/>
      <c r="B3394"/>
      <c r="C3394"/>
      <c r="D3394"/>
      <c r="E3394"/>
      <c r="F3394"/>
    </row>
    <row r="3395" spans="1:6">
      <c r="A3395"/>
      <c r="B3395"/>
      <c r="C3395"/>
      <c r="D3395"/>
      <c r="E3395"/>
      <c r="F3395"/>
    </row>
    <row r="3396" spans="1:6">
      <c r="A3396"/>
      <c r="B3396"/>
      <c r="C3396"/>
      <c r="D3396"/>
      <c r="E3396"/>
      <c r="F3396"/>
    </row>
    <row r="3397" spans="1:6">
      <c r="A3397"/>
      <c r="B3397"/>
      <c r="C3397"/>
      <c r="D3397"/>
      <c r="E3397"/>
      <c r="F3397"/>
    </row>
    <row r="3398" spans="1:6">
      <c r="A3398"/>
      <c r="B3398"/>
      <c r="C3398"/>
      <c r="D3398"/>
      <c r="E3398"/>
      <c r="F3398"/>
    </row>
    <row r="3399" spans="1:6">
      <c r="A3399"/>
      <c r="B3399"/>
      <c r="C3399"/>
      <c r="D3399"/>
      <c r="E3399"/>
      <c r="F3399"/>
    </row>
    <row r="3400" spans="1:6">
      <c r="A3400"/>
      <c r="B3400"/>
      <c r="C3400"/>
      <c r="D3400"/>
      <c r="E3400"/>
      <c r="F3400"/>
    </row>
    <row r="3401" spans="1:6">
      <c r="A3401"/>
      <c r="B3401"/>
      <c r="C3401"/>
      <c r="D3401"/>
      <c r="E3401"/>
      <c r="F3401"/>
    </row>
    <row r="3402" spans="1:6">
      <c r="A3402"/>
      <c r="B3402"/>
      <c r="C3402"/>
      <c r="D3402"/>
      <c r="E3402"/>
      <c r="F3402"/>
    </row>
    <row r="3403" spans="1:6">
      <c r="A3403"/>
      <c r="B3403"/>
      <c r="C3403"/>
      <c r="D3403"/>
      <c r="E3403"/>
      <c r="F3403"/>
    </row>
    <row r="3404" spans="1:6">
      <c r="A3404"/>
      <c r="B3404"/>
      <c r="C3404"/>
      <c r="D3404"/>
      <c r="E3404"/>
      <c r="F3404"/>
    </row>
    <row r="3405" spans="1:6">
      <c r="A3405"/>
      <c r="B3405"/>
      <c r="C3405"/>
      <c r="D3405"/>
      <c r="E3405"/>
      <c r="F3405"/>
    </row>
    <row r="3406" spans="1:6">
      <c r="A3406"/>
      <c r="B3406"/>
      <c r="C3406"/>
      <c r="D3406"/>
      <c r="E3406"/>
      <c r="F3406"/>
    </row>
    <row r="3407" spans="1:6">
      <c r="A3407"/>
      <c r="B3407"/>
      <c r="C3407"/>
      <c r="D3407"/>
      <c r="E3407"/>
      <c r="F3407"/>
    </row>
    <row r="3408" spans="1:6">
      <c r="A3408"/>
      <c r="B3408"/>
      <c r="C3408"/>
      <c r="D3408"/>
      <c r="E3408"/>
      <c r="F3408"/>
    </row>
    <row r="3409" spans="1:6">
      <c r="A3409"/>
      <c r="B3409"/>
      <c r="C3409"/>
      <c r="D3409"/>
      <c r="E3409"/>
      <c r="F3409"/>
    </row>
    <row r="3410" spans="1:6">
      <c r="A3410"/>
      <c r="B3410"/>
      <c r="C3410"/>
      <c r="D3410"/>
      <c r="E3410"/>
      <c r="F3410"/>
    </row>
    <row r="3411" spans="1:6">
      <c r="A3411"/>
      <c r="B3411"/>
      <c r="C3411"/>
      <c r="D3411"/>
      <c r="E3411"/>
      <c r="F3411"/>
    </row>
    <row r="3412" spans="1:6">
      <c r="A3412"/>
      <c r="B3412"/>
      <c r="C3412"/>
      <c r="D3412"/>
      <c r="E3412"/>
      <c r="F3412"/>
    </row>
    <row r="3413" spans="1:6">
      <c r="A3413"/>
      <c r="B3413"/>
      <c r="C3413"/>
      <c r="D3413"/>
      <c r="E3413"/>
      <c r="F3413"/>
    </row>
    <row r="3414" spans="1:6">
      <c r="A3414"/>
      <c r="B3414"/>
      <c r="C3414"/>
      <c r="D3414"/>
      <c r="E3414"/>
      <c r="F3414"/>
    </row>
    <row r="3415" spans="1:6">
      <c r="A3415"/>
      <c r="B3415"/>
      <c r="C3415"/>
      <c r="D3415"/>
      <c r="E3415"/>
      <c r="F3415"/>
    </row>
    <row r="3416" spans="1:6">
      <c r="A3416"/>
      <c r="B3416"/>
      <c r="C3416"/>
      <c r="D3416"/>
      <c r="E3416"/>
      <c r="F3416"/>
    </row>
    <row r="3417" spans="1:6">
      <c r="A3417"/>
      <c r="B3417"/>
      <c r="C3417"/>
      <c r="D3417"/>
      <c r="E3417"/>
      <c r="F3417"/>
    </row>
    <row r="3418" spans="1:6">
      <c r="A3418"/>
      <c r="B3418"/>
      <c r="C3418"/>
      <c r="D3418"/>
      <c r="E3418"/>
      <c r="F3418"/>
    </row>
    <row r="3419" spans="1:6">
      <c r="A3419"/>
      <c r="B3419"/>
      <c r="C3419"/>
      <c r="D3419"/>
      <c r="E3419"/>
      <c r="F3419"/>
    </row>
    <row r="3420" spans="1:6">
      <c r="A3420"/>
      <c r="B3420"/>
      <c r="C3420"/>
      <c r="D3420"/>
      <c r="E3420"/>
      <c r="F3420"/>
    </row>
    <row r="3421" spans="1:6">
      <c r="A3421"/>
      <c r="B3421"/>
      <c r="C3421"/>
      <c r="D3421"/>
      <c r="E3421"/>
      <c r="F3421"/>
    </row>
    <row r="3422" spans="1:6">
      <c r="A3422"/>
      <c r="B3422"/>
      <c r="C3422"/>
      <c r="D3422"/>
      <c r="E3422"/>
      <c r="F3422"/>
    </row>
    <row r="3423" spans="1:6">
      <c r="A3423"/>
      <c r="B3423"/>
      <c r="C3423"/>
      <c r="D3423"/>
      <c r="E3423"/>
      <c r="F3423"/>
    </row>
    <row r="3424" spans="1:6">
      <c r="A3424"/>
      <c r="B3424"/>
      <c r="C3424"/>
      <c r="D3424"/>
      <c r="E3424"/>
      <c r="F3424"/>
    </row>
    <row r="3425" spans="1:6">
      <c r="A3425"/>
      <c r="B3425"/>
      <c r="C3425"/>
      <c r="D3425"/>
      <c r="E3425"/>
      <c r="F3425"/>
    </row>
    <row r="3426" spans="1:6">
      <c r="A3426"/>
      <c r="B3426"/>
      <c r="C3426"/>
      <c r="D3426"/>
      <c r="E3426"/>
      <c r="F3426"/>
    </row>
    <row r="3427" spans="1:6">
      <c r="A3427"/>
      <c r="B3427"/>
      <c r="C3427"/>
      <c r="D3427"/>
      <c r="E3427"/>
      <c r="F3427"/>
    </row>
    <row r="3428" spans="1:6">
      <c r="A3428"/>
      <c r="B3428"/>
      <c r="C3428"/>
      <c r="D3428"/>
      <c r="E3428"/>
      <c r="F3428"/>
    </row>
    <row r="3429" spans="1:6">
      <c r="A3429"/>
      <c r="B3429"/>
      <c r="C3429"/>
      <c r="D3429"/>
      <c r="E3429"/>
      <c r="F3429"/>
    </row>
    <row r="3430" spans="1:6">
      <c r="A3430"/>
      <c r="B3430"/>
      <c r="C3430"/>
      <c r="D3430"/>
      <c r="E3430"/>
      <c r="F3430"/>
    </row>
    <row r="3431" spans="1:6">
      <c r="A3431"/>
      <c r="B3431"/>
      <c r="C3431"/>
      <c r="D3431"/>
      <c r="E3431"/>
      <c r="F3431"/>
    </row>
    <row r="3432" spans="1:6">
      <c r="A3432"/>
      <c r="B3432"/>
      <c r="C3432"/>
      <c r="D3432"/>
      <c r="E3432"/>
      <c r="F3432"/>
    </row>
    <row r="3433" spans="1:6">
      <c r="A3433"/>
      <c r="B3433"/>
      <c r="C3433"/>
      <c r="D3433"/>
      <c r="E3433"/>
      <c r="F3433"/>
    </row>
    <row r="3434" spans="1:6">
      <c r="A3434"/>
      <c r="B3434"/>
      <c r="C3434"/>
      <c r="D3434"/>
      <c r="E3434"/>
      <c r="F3434"/>
    </row>
    <row r="3435" spans="1:6">
      <c r="A3435"/>
      <c r="B3435"/>
      <c r="C3435"/>
      <c r="D3435"/>
      <c r="E3435"/>
      <c r="F3435"/>
    </row>
    <row r="3436" spans="1:6">
      <c r="A3436"/>
      <c r="B3436"/>
      <c r="C3436"/>
      <c r="D3436"/>
      <c r="E3436"/>
      <c r="F3436"/>
    </row>
    <row r="3437" spans="1:6">
      <c r="A3437"/>
      <c r="B3437"/>
      <c r="C3437"/>
      <c r="D3437"/>
      <c r="E3437"/>
      <c r="F3437"/>
    </row>
    <row r="3438" spans="1:6">
      <c r="A3438"/>
      <c r="B3438"/>
      <c r="C3438"/>
      <c r="D3438"/>
      <c r="E3438"/>
      <c r="F3438"/>
    </row>
    <row r="3439" spans="1:6">
      <c r="A3439"/>
      <c r="B3439"/>
      <c r="C3439"/>
      <c r="D3439"/>
      <c r="E3439"/>
      <c r="F3439"/>
    </row>
    <row r="3440" spans="1:6">
      <c r="A3440"/>
      <c r="B3440"/>
      <c r="C3440"/>
      <c r="D3440"/>
      <c r="E3440"/>
      <c r="F3440"/>
    </row>
    <row r="3441" spans="1:6">
      <c r="A3441"/>
      <c r="B3441"/>
      <c r="C3441"/>
      <c r="D3441"/>
      <c r="E3441"/>
      <c r="F3441"/>
    </row>
    <row r="3442" spans="1:6">
      <c r="A3442"/>
      <c r="B3442"/>
      <c r="C3442"/>
      <c r="D3442"/>
      <c r="E3442"/>
      <c r="F3442"/>
    </row>
    <row r="3443" spans="1:6">
      <c r="A3443"/>
      <c r="B3443"/>
      <c r="C3443"/>
      <c r="D3443"/>
      <c r="E3443"/>
      <c r="F3443"/>
    </row>
    <row r="3444" spans="1:6">
      <c r="A3444"/>
      <c r="B3444"/>
      <c r="C3444"/>
      <c r="D3444"/>
      <c r="E3444"/>
      <c r="F3444"/>
    </row>
    <row r="3445" spans="1:6">
      <c r="A3445"/>
      <c r="B3445"/>
      <c r="C3445"/>
      <c r="D3445"/>
      <c r="E3445"/>
      <c r="F3445"/>
    </row>
    <row r="3446" spans="1:6">
      <c r="A3446"/>
      <c r="B3446"/>
      <c r="C3446"/>
      <c r="D3446"/>
      <c r="E3446"/>
      <c r="F3446"/>
    </row>
    <row r="3447" spans="1:6">
      <c r="A3447"/>
      <c r="B3447"/>
      <c r="C3447"/>
      <c r="D3447"/>
      <c r="E3447"/>
      <c r="F3447"/>
    </row>
    <row r="3448" spans="1:6">
      <c r="A3448"/>
      <c r="B3448"/>
      <c r="C3448"/>
      <c r="D3448"/>
      <c r="E3448"/>
      <c r="F3448"/>
    </row>
    <row r="3449" spans="1:6">
      <c r="A3449"/>
      <c r="B3449"/>
      <c r="C3449"/>
      <c r="D3449"/>
      <c r="E3449"/>
      <c r="F3449"/>
    </row>
    <row r="3450" spans="1:6">
      <c r="A3450"/>
      <c r="B3450"/>
      <c r="C3450"/>
      <c r="D3450"/>
      <c r="E3450"/>
      <c r="F3450"/>
    </row>
    <row r="3451" spans="1:6">
      <c r="A3451"/>
      <c r="B3451"/>
      <c r="C3451"/>
      <c r="D3451"/>
      <c r="E3451"/>
      <c r="F3451"/>
    </row>
    <row r="3452" spans="1:6">
      <c r="A3452"/>
      <c r="B3452"/>
      <c r="C3452"/>
      <c r="D3452"/>
      <c r="E3452"/>
      <c r="F3452"/>
    </row>
    <row r="3453" spans="1:6">
      <c r="A3453"/>
      <c r="B3453"/>
      <c r="C3453"/>
      <c r="D3453"/>
      <c r="E3453"/>
      <c r="F3453"/>
    </row>
    <row r="3454" spans="1:6">
      <c r="A3454"/>
      <c r="B3454"/>
      <c r="C3454"/>
      <c r="D3454"/>
      <c r="E3454"/>
      <c r="F3454"/>
    </row>
    <row r="3455" spans="1:6">
      <c r="A3455"/>
      <c r="B3455"/>
      <c r="C3455"/>
      <c r="D3455"/>
      <c r="E3455"/>
      <c r="F3455"/>
    </row>
    <row r="3456" spans="1:6">
      <c r="A3456"/>
      <c r="B3456"/>
      <c r="C3456"/>
      <c r="D3456"/>
      <c r="E3456"/>
      <c r="F3456"/>
    </row>
    <row r="3457" spans="1:6">
      <c r="A3457"/>
      <c r="B3457"/>
      <c r="C3457"/>
      <c r="D3457"/>
      <c r="E3457"/>
      <c r="F3457"/>
    </row>
    <row r="3458" spans="1:6">
      <c r="A3458"/>
      <c r="B3458"/>
      <c r="C3458"/>
      <c r="D3458"/>
      <c r="E3458"/>
      <c r="F3458"/>
    </row>
    <row r="3459" spans="1:6">
      <c r="A3459"/>
      <c r="B3459"/>
      <c r="C3459"/>
      <c r="D3459"/>
      <c r="E3459"/>
      <c r="F3459"/>
    </row>
    <row r="3460" spans="1:6">
      <c r="A3460"/>
      <c r="B3460"/>
      <c r="C3460"/>
      <c r="D3460"/>
      <c r="E3460"/>
      <c r="F3460"/>
    </row>
    <row r="3461" spans="1:6">
      <c r="A3461"/>
      <c r="B3461"/>
      <c r="C3461"/>
      <c r="D3461"/>
      <c r="E3461"/>
      <c r="F3461"/>
    </row>
    <row r="3462" spans="1:6">
      <c r="A3462"/>
      <c r="B3462"/>
      <c r="C3462"/>
      <c r="D3462"/>
      <c r="E3462"/>
      <c r="F3462"/>
    </row>
    <row r="3463" spans="1:6">
      <c r="A3463"/>
      <c r="B3463"/>
      <c r="C3463"/>
      <c r="D3463"/>
      <c r="E3463"/>
      <c r="F3463"/>
    </row>
    <row r="3464" spans="1:6">
      <c r="A3464"/>
      <c r="B3464"/>
      <c r="C3464"/>
      <c r="D3464"/>
      <c r="E3464"/>
      <c r="F3464"/>
    </row>
    <row r="3465" spans="1:6">
      <c r="A3465"/>
      <c r="B3465"/>
      <c r="C3465"/>
      <c r="D3465"/>
      <c r="E3465"/>
      <c r="F3465"/>
    </row>
    <row r="3466" spans="1:6">
      <c r="A3466"/>
      <c r="B3466"/>
      <c r="C3466"/>
      <c r="D3466"/>
      <c r="E3466"/>
      <c r="F3466"/>
    </row>
    <row r="3467" spans="1:6">
      <c r="A3467"/>
      <c r="B3467"/>
      <c r="C3467"/>
      <c r="D3467"/>
      <c r="E3467"/>
      <c r="F3467"/>
    </row>
    <row r="3468" spans="1:6">
      <c r="A3468"/>
      <c r="B3468"/>
      <c r="C3468"/>
      <c r="D3468"/>
      <c r="E3468"/>
      <c r="F3468"/>
    </row>
    <row r="3469" spans="1:6">
      <c r="A3469"/>
      <c r="B3469"/>
      <c r="C3469"/>
      <c r="D3469"/>
      <c r="E3469"/>
      <c r="F3469"/>
    </row>
    <row r="3470" spans="1:6">
      <c r="A3470"/>
      <c r="B3470"/>
      <c r="C3470"/>
      <c r="D3470"/>
      <c r="E3470"/>
      <c r="F3470"/>
    </row>
    <row r="3471" spans="1:6">
      <c r="A3471"/>
      <c r="B3471"/>
      <c r="C3471"/>
      <c r="D3471"/>
      <c r="E3471"/>
      <c r="F3471"/>
    </row>
    <row r="3472" spans="1:6">
      <c r="A3472"/>
      <c r="B3472"/>
      <c r="C3472"/>
      <c r="D3472"/>
      <c r="E3472"/>
      <c r="F3472"/>
    </row>
    <row r="3473" spans="1:6">
      <c r="A3473"/>
      <c r="B3473"/>
      <c r="C3473"/>
      <c r="D3473"/>
      <c r="E3473"/>
      <c r="F3473"/>
    </row>
    <row r="3474" spans="1:6">
      <c r="A3474"/>
      <c r="B3474"/>
      <c r="C3474"/>
      <c r="D3474"/>
      <c r="E3474"/>
      <c r="F3474"/>
    </row>
    <row r="3475" spans="1:6">
      <c r="A3475"/>
      <c r="B3475"/>
      <c r="C3475"/>
      <c r="D3475"/>
      <c r="E3475"/>
      <c r="F3475"/>
    </row>
    <row r="3476" spans="1:6">
      <c r="A3476"/>
      <c r="B3476"/>
      <c r="C3476"/>
      <c r="D3476"/>
      <c r="E3476"/>
      <c r="F3476"/>
    </row>
    <row r="3477" spans="1:6">
      <c r="A3477"/>
      <c r="B3477"/>
      <c r="C3477"/>
      <c r="D3477"/>
      <c r="E3477"/>
      <c r="F3477"/>
    </row>
    <row r="3478" spans="1:6">
      <c r="A3478"/>
      <c r="B3478"/>
      <c r="C3478"/>
      <c r="D3478"/>
      <c r="E3478"/>
      <c r="F3478"/>
    </row>
    <row r="3479" spans="1:6">
      <c r="A3479"/>
      <c r="B3479"/>
      <c r="C3479"/>
      <c r="D3479"/>
      <c r="E3479"/>
      <c r="F3479"/>
    </row>
    <row r="3480" spans="1:6">
      <c r="A3480"/>
      <c r="B3480"/>
      <c r="C3480"/>
      <c r="D3480"/>
      <c r="E3480"/>
      <c r="F3480"/>
    </row>
    <row r="3481" spans="1:6">
      <c r="A3481"/>
      <c r="B3481"/>
      <c r="C3481"/>
      <c r="D3481"/>
      <c r="E3481"/>
      <c r="F3481"/>
    </row>
    <row r="3482" spans="1:6">
      <c r="A3482"/>
      <c r="B3482"/>
      <c r="C3482"/>
      <c r="D3482"/>
      <c r="E3482"/>
      <c r="F3482"/>
    </row>
    <row r="3483" spans="1:6">
      <c r="A3483"/>
      <c r="B3483"/>
      <c r="C3483"/>
      <c r="D3483"/>
      <c r="E3483"/>
      <c r="F3483"/>
    </row>
    <row r="3484" spans="1:6">
      <c r="A3484"/>
      <c r="B3484"/>
      <c r="C3484"/>
      <c r="D3484"/>
      <c r="E3484"/>
      <c r="F3484"/>
    </row>
    <row r="3485" spans="1:6">
      <c r="A3485"/>
      <c r="B3485"/>
      <c r="C3485"/>
      <c r="D3485"/>
      <c r="E3485"/>
      <c r="F3485"/>
    </row>
    <row r="3486" spans="1:6">
      <c r="A3486"/>
      <c r="B3486"/>
      <c r="C3486"/>
      <c r="D3486"/>
      <c r="E3486"/>
      <c r="F3486"/>
    </row>
    <row r="3487" spans="1:6">
      <c r="A3487"/>
      <c r="B3487"/>
      <c r="C3487"/>
      <c r="D3487"/>
      <c r="E3487"/>
      <c r="F3487"/>
    </row>
    <row r="3488" spans="1:6">
      <c r="A3488"/>
      <c r="B3488"/>
      <c r="C3488"/>
      <c r="D3488"/>
      <c r="E3488"/>
      <c r="F3488"/>
    </row>
    <row r="3489" spans="1:6">
      <c r="A3489"/>
      <c r="B3489"/>
      <c r="C3489"/>
      <c r="D3489"/>
      <c r="E3489"/>
      <c r="F3489"/>
    </row>
    <row r="3490" spans="1:6">
      <c r="A3490"/>
      <c r="B3490"/>
      <c r="C3490"/>
      <c r="D3490"/>
      <c r="E3490"/>
      <c r="F3490"/>
    </row>
    <row r="3491" spans="1:6">
      <c r="A3491"/>
      <c r="B3491"/>
      <c r="C3491"/>
      <c r="D3491"/>
      <c r="E3491"/>
      <c r="F3491"/>
    </row>
    <row r="3492" spans="1:6">
      <c r="A3492"/>
      <c r="B3492"/>
      <c r="C3492"/>
      <c r="D3492"/>
      <c r="E3492"/>
      <c r="F3492"/>
    </row>
    <row r="3493" spans="1:6">
      <c r="A3493"/>
      <c r="B3493"/>
      <c r="C3493"/>
      <c r="D3493"/>
      <c r="E3493"/>
      <c r="F3493"/>
    </row>
    <row r="3494" spans="1:6">
      <c r="A3494"/>
      <c r="B3494"/>
      <c r="C3494"/>
      <c r="D3494"/>
      <c r="E3494"/>
      <c r="F3494"/>
    </row>
    <row r="3495" spans="1:6">
      <c r="A3495"/>
      <c r="B3495"/>
      <c r="C3495"/>
      <c r="D3495"/>
      <c r="E3495"/>
      <c r="F3495"/>
    </row>
    <row r="3496" spans="1:6">
      <c r="A3496"/>
      <c r="B3496"/>
      <c r="C3496"/>
      <c r="D3496"/>
      <c r="E3496"/>
      <c r="F3496"/>
    </row>
    <row r="3497" spans="1:6">
      <c r="A3497"/>
      <c r="B3497"/>
      <c r="C3497"/>
      <c r="D3497"/>
      <c r="E3497"/>
      <c r="F3497"/>
    </row>
    <row r="3498" spans="1:6">
      <c r="A3498"/>
      <c r="B3498"/>
      <c r="C3498"/>
      <c r="D3498"/>
      <c r="E3498"/>
      <c r="F3498"/>
    </row>
    <row r="3499" spans="1:6">
      <c r="A3499"/>
      <c r="B3499"/>
      <c r="C3499"/>
      <c r="D3499"/>
      <c r="E3499"/>
      <c r="F3499"/>
    </row>
    <row r="3500" spans="1:6">
      <c r="A3500"/>
      <c r="B3500"/>
      <c r="C3500"/>
      <c r="D3500"/>
      <c r="E3500"/>
      <c r="F3500"/>
    </row>
    <row r="3501" spans="1:6">
      <c r="A3501"/>
      <c r="B3501"/>
      <c r="C3501"/>
      <c r="D3501"/>
      <c r="E3501"/>
      <c r="F3501"/>
    </row>
    <row r="3502" spans="1:6">
      <c r="A3502"/>
      <c r="B3502"/>
      <c r="C3502"/>
      <c r="D3502"/>
      <c r="E3502"/>
      <c r="F3502"/>
    </row>
    <row r="3503" spans="1:6">
      <c r="A3503"/>
      <c r="B3503"/>
      <c r="C3503"/>
      <c r="D3503"/>
      <c r="E3503"/>
      <c r="F3503"/>
    </row>
    <row r="3504" spans="1:6">
      <c r="A3504"/>
      <c r="B3504"/>
      <c r="C3504"/>
      <c r="D3504"/>
      <c r="E3504"/>
      <c r="F3504"/>
    </row>
    <row r="3505" spans="1:6">
      <c r="A3505"/>
      <c r="B3505"/>
      <c r="C3505"/>
      <c r="D3505"/>
      <c r="E3505"/>
      <c r="F3505"/>
    </row>
    <row r="3506" spans="1:6">
      <c r="A3506"/>
      <c r="B3506"/>
      <c r="C3506"/>
      <c r="D3506"/>
      <c r="E3506"/>
      <c r="F3506"/>
    </row>
    <row r="3507" spans="1:6">
      <c r="A3507"/>
      <c r="B3507"/>
      <c r="C3507"/>
      <c r="D3507"/>
      <c r="E3507"/>
      <c r="F3507"/>
    </row>
    <row r="3508" spans="1:6">
      <c r="A3508"/>
      <c r="B3508"/>
      <c r="C3508"/>
      <c r="D3508"/>
      <c r="E3508"/>
      <c r="F3508"/>
    </row>
    <row r="3509" spans="1:6">
      <c r="A3509"/>
      <c r="B3509"/>
      <c r="C3509"/>
      <c r="D3509"/>
      <c r="E3509"/>
      <c r="F3509"/>
    </row>
    <row r="3510" spans="1:6">
      <c r="A3510"/>
      <c r="B3510"/>
      <c r="C3510"/>
      <c r="D3510"/>
      <c r="E3510"/>
      <c r="F3510"/>
    </row>
    <row r="3511" spans="1:6">
      <c r="A3511"/>
      <c r="B3511"/>
      <c r="C3511"/>
      <c r="D3511"/>
      <c r="E3511"/>
      <c r="F3511"/>
    </row>
    <row r="3512" spans="1:6">
      <c r="A3512"/>
      <c r="B3512"/>
      <c r="C3512"/>
      <c r="D3512"/>
      <c r="E3512"/>
      <c r="F3512"/>
    </row>
    <row r="3513" spans="1:6">
      <c r="A3513"/>
      <c r="B3513"/>
      <c r="C3513"/>
      <c r="D3513"/>
      <c r="E3513"/>
      <c r="F3513"/>
    </row>
    <row r="3514" spans="1:6">
      <c r="A3514"/>
      <c r="B3514"/>
      <c r="C3514"/>
      <c r="D3514"/>
      <c r="E3514"/>
      <c r="F3514"/>
    </row>
    <row r="3515" spans="1:6">
      <c r="A3515"/>
      <c r="B3515"/>
      <c r="C3515"/>
      <c r="D3515"/>
      <c r="E3515"/>
      <c r="F3515"/>
    </row>
    <row r="3516" spans="1:6">
      <c r="A3516"/>
      <c r="B3516"/>
      <c r="C3516"/>
      <c r="D3516"/>
      <c r="E3516"/>
      <c r="F3516"/>
    </row>
    <row r="3517" spans="1:6">
      <c r="A3517"/>
      <c r="B3517"/>
      <c r="C3517"/>
      <c r="D3517"/>
      <c r="E3517"/>
      <c r="F3517"/>
    </row>
    <row r="3518" spans="1:6">
      <c r="A3518"/>
      <c r="B3518"/>
      <c r="C3518"/>
      <c r="D3518"/>
      <c r="E3518"/>
      <c r="F3518"/>
    </row>
    <row r="3519" spans="1:6">
      <c r="A3519"/>
      <c r="B3519"/>
      <c r="C3519"/>
      <c r="D3519"/>
      <c r="E3519"/>
      <c r="F3519"/>
    </row>
    <row r="3520" spans="1:6">
      <c r="A3520"/>
      <c r="B3520"/>
      <c r="C3520"/>
      <c r="D3520"/>
      <c r="E3520"/>
      <c r="F3520"/>
    </row>
    <row r="3521" spans="1:6">
      <c r="A3521"/>
      <c r="B3521"/>
      <c r="C3521"/>
      <c r="D3521"/>
      <c r="E3521"/>
      <c r="F3521"/>
    </row>
    <row r="3522" spans="1:6">
      <c r="A3522"/>
      <c r="B3522"/>
      <c r="C3522"/>
      <c r="D3522"/>
      <c r="E3522"/>
      <c r="F3522"/>
    </row>
    <row r="3523" spans="1:6">
      <c r="A3523"/>
      <c r="B3523"/>
      <c r="C3523"/>
      <c r="D3523"/>
      <c r="E3523"/>
      <c r="F3523"/>
    </row>
    <row r="3524" spans="1:6">
      <c r="A3524"/>
      <c r="B3524"/>
      <c r="C3524"/>
      <c r="D3524"/>
      <c r="E3524"/>
      <c r="F3524"/>
    </row>
    <row r="3525" spans="1:6">
      <c r="A3525"/>
      <c r="B3525"/>
      <c r="C3525"/>
      <c r="D3525"/>
      <c r="E3525"/>
      <c r="F3525"/>
    </row>
    <row r="3526" spans="1:6">
      <c r="A3526"/>
      <c r="B3526"/>
      <c r="C3526"/>
      <c r="D3526"/>
      <c r="E3526"/>
      <c r="F3526"/>
    </row>
    <row r="3527" spans="1:6">
      <c r="A3527"/>
      <c r="B3527"/>
      <c r="C3527"/>
      <c r="D3527"/>
      <c r="E3527"/>
      <c r="F3527"/>
    </row>
    <row r="3528" spans="1:6">
      <c r="A3528"/>
      <c r="B3528"/>
      <c r="C3528"/>
      <c r="D3528"/>
      <c r="E3528"/>
      <c r="F3528"/>
    </row>
    <row r="3529" spans="1:6">
      <c r="A3529"/>
      <c r="B3529"/>
      <c r="C3529"/>
      <c r="D3529"/>
      <c r="E3529"/>
      <c r="F3529"/>
    </row>
    <row r="3530" spans="1:6">
      <c r="A3530"/>
      <c r="B3530"/>
      <c r="C3530"/>
      <c r="D3530"/>
      <c r="E3530"/>
      <c r="F3530"/>
    </row>
    <row r="3531" spans="1:6">
      <c r="A3531"/>
      <c r="B3531"/>
      <c r="C3531"/>
      <c r="D3531"/>
      <c r="E3531"/>
      <c r="F3531"/>
    </row>
    <row r="3532" spans="1:6">
      <c r="A3532"/>
      <c r="B3532"/>
      <c r="C3532"/>
      <c r="D3532"/>
      <c r="E3532"/>
      <c r="F3532"/>
    </row>
    <row r="3533" spans="1:6">
      <c r="A3533"/>
      <c r="B3533"/>
      <c r="C3533"/>
      <c r="D3533"/>
      <c r="E3533"/>
      <c r="F3533"/>
    </row>
    <row r="3534" spans="1:6">
      <c r="A3534"/>
      <c r="B3534"/>
      <c r="C3534"/>
      <c r="D3534"/>
      <c r="E3534"/>
      <c r="F3534"/>
    </row>
    <row r="3535" spans="1:6">
      <c r="A3535"/>
      <c r="B3535"/>
      <c r="C3535"/>
      <c r="D3535"/>
      <c r="E3535"/>
      <c r="F3535"/>
    </row>
    <row r="3536" spans="1:6">
      <c r="A3536"/>
      <c r="B3536"/>
      <c r="C3536"/>
      <c r="D3536"/>
      <c r="E3536"/>
      <c r="F3536"/>
    </row>
    <row r="3537" spans="1:6">
      <c r="A3537"/>
      <c r="B3537"/>
      <c r="C3537"/>
      <c r="D3537"/>
      <c r="E3537"/>
      <c r="F3537"/>
    </row>
    <row r="3538" spans="1:6">
      <c r="A3538"/>
      <c r="B3538"/>
      <c r="C3538"/>
      <c r="D3538"/>
      <c r="E3538"/>
      <c r="F3538"/>
    </row>
    <row r="3539" spans="1:6">
      <c r="A3539"/>
      <c r="B3539"/>
      <c r="C3539"/>
      <c r="D3539"/>
      <c r="E3539"/>
      <c r="F3539"/>
    </row>
    <row r="3540" spans="1:6">
      <c r="A3540"/>
      <c r="B3540"/>
      <c r="C3540"/>
      <c r="D3540"/>
      <c r="E3540"/>
      <c r="F3540"/>
    </row>
    <row r="3541" spans="1:6">
      <c r="A3541"/>
      <c r="B3541"/>
      <c r="C3541"/>
      <c r="D3541"/>
      <c r="E3541"/>
      <c r="F3541"/>
    </row>
    <row r="3542" spans="1:6">
      <c r="A3542"/>
      <c r="B3542"/>
      <c r="C3542"/>
      <c r="D3542"/>
      <c r="E3542"/>
      <c r="F3542"/>
    </row>
    <row r="3543" spans="1:6">
      <c r="A3543"/>
      <c r="B3543"/>
      <c r="C3543"/>
      <c r="D3543"/>
      <c r="E3543"/>
      <c r="F3543"/>
    </row>
    <row r="3544" spans="1:6">
      <c r="A3544"/>
      <c r="B3544"/>
      <c r="C3544"/>
      <c r="D3544"/>
      <c r="E3544"/>
      <c r="F3544"/>
    </row>
    <row r="3545" spans="1:6">
      <c r="A3545"/>
      <c r="B3545"/>
      <c r="C3545"/>
      <c r="D3545"/>
      <c r="E3545"/>
      <c r="F3545"/>
    </row>
    <row r="3546" spans="1:6">
      <c r="A3546"/>
      <c r="B3546"/>
      <c r="C3546"/>
      <c r="D3546"/>
      <c r="E3546"/>
      <c r="F3546"/>
    </row>
    <row r="3547" spans="1:6">
      <c r="A3547"/>
      <c r="B3547"/>
      <c r="C3547"/>
      <c r="D3547"/>
      <c r="E3547"/>
      <c r="F3547"/>
    </row>
    <row r="3548" spans="1:6">
      <c r="A3548"/>
      <c r="B3548"/>
      <c r="C3548"/>
      <c r="D3548"/>
      <c r="E3548"/>
      <c r="F3548"/>
    </row>
    <row r="3549" spans="1:6">
      <c r="A3549"/>
      <c r="B3549"/>
      <c r="C3549"/>
      <c r="D3549"/>
      <c r="E3549"/>
      <c r="F3549"/>
    </row>
    <row r="3550" spans="1:6">
      <c r="A3550"/>
      <c r="B3550"/>
      <c r="C3550"/>
      <c r="D3550"/>
      <c r="E3550"/>
      <c r="F3550"/>
    </row>
    <row r="3551" spans="1:6">
      <c r="A3551"/>
      <c r="B3551"/>
      <c r="C3551"/>
      <c r="D3551"/>
      <c r="E3551"/>
      <c r="F3551"/>
    </row>
    <row r="3552" spans="1:6">
      <c r="A3552"/>
      <c r="B3552"/>
      <c r="C3552"/>
      <c r="D3552"/>
      <c r="E3552"/>
      <c r="F3552"/>
    </row>
    <row r="3553" spans="1:6">
      <c r="A3553"/>
      <c r="B3553"/>
      <c r="C3553"/>
      <c r="D3553"/>
      <c r="E3553"/>
      <c r="F3553"/>
    </row>
    <row r="3554" spans="1:6">
      <c r="A3554"/>
      <c r="B3554"/>
      <c r="C3554"/>
      <c r="D3554"/>
      <c r="E3554"/>
      <c r="F3554"/>
    </row>
    <row r="3555" spans="1:6">
      <c r="A3555"/>
      <c r="B3555"/>
      <c r="C3555"/>
      <c r="D3555"/>
      <c r="E3555"/>
      <c r="F3555"/>
    </row>
    <row r="3556" spans="1:6">
      <c r="A3556"/>
      <c r="B3556"/>
      <c r="C3556"/>
      <c r="D3556"/>
      <c r="E3556"/>
      <c r="F3556"/>
    </row>
    <row r="3557" spans="1:6">
      <c r="A3557"/>
      <c r="B3557"/>
      <c r="C3557"/>
      <c r="D3557"/>
      <c r="E3557"/>
      <c r="F3557"/>
    </row>
    <row r="3558" spans="1:6">
      <c r="A3558"/>
      <c r="B3558"/>
      <c r="C3558"/>
      <c r="D3558"/>
      <c r="E3558"/>
      <c r="F3558"/>
    </row>
    <row r="3559" spans="1:6">
      <c r="A3559"/>
      <c r="B3559"/>
      <c r="C3559"/>
      <c r="D3559"/>
      <c r="E3559"/>
      <c r="F3559"/>
    </row>
    <row r="3560" spans="1:6">
      <c r="A3560"/>
      <c r="B3560"/>
      <c r="C3560"/>
      <c r="D3560"/>
      <c r="E3560"/>
      <c r="F3560"/>
    </row>
    <row r="3561" spans="1:6">
      <c r="A3561"/>
      <c r="B3561"/>
      <c r="C3561"/>
      <c r="D3561"/>
      <c r="E3561"/>
      <c r="F3561"/>
    </row>
    <row r="3562" spans="1:6">
      <c r="A3562"/>
      <c r="B3562"/>
      <c r="C3562"/>
      <c r="D3562"/>
      <c r="E3562"/>
      <c r="F3562"/>
    </row>
    <row r="3563" spans="1:6">
      <c r="A3563"/>
      <c r="B3563"/>
      <c r="C3563"/>
      <c r="D3563"/>
      <c r="E3563"/>
      <c r="F3563"/>
    </row>
    <row r="3564" spans="1:6">
      <c r="A3564"/>
      <c r="B3564"/>
      <c r="C3564"/>
      <c r="D3564"/>
      <c r="E3564"/>
      <c r="F3564"/>
    </row>
    <row r="3565" spans="1:6">
      <c r="A3565"/>
      <c r="B3565"/>
      <c r="C3565"/>
      <c r="D3565"/>
      <c r="E3565"/>
      <c r="F3565"/>
    </row>
    <row r="3566" spans="1:6">
      <c r="A3566"/>
      <c r="B3566"/>
      <c r="C3566"/>
      <c r="D3566"/>
      <c r="E3566"/>
      <c r="F3566"/>
    </row>
    <row r="3567" spans="1:6">
      <c r="A3567"/>
      <c r="B3567"/>
      <c r="C3567"/>
      <c r="D3567"/>
      <c r="E3567"/>
      <c r="F3567"/>
    </row>
    <row r="3568" spans="1:6">
      <c r="A3568"/>
      <c r="B3568"/>
      <c r="C3568"/>
      <c r="D3568"/>
      <c r="E3568"/>
      <c r="F3568"/>
    </row>
    <row r="3569" spans="1:6">
      <c r="A3569"/>
      <c r="B3569"/>
      <c r="C3569"/>
      <c r="D3569"/>
      <c r="E3569"/>
      <c r="F3569"/>
    </row>
    <row r="3570" spans="1:6">
      <c r="A3570"/>
      <c r="B3570"/>
      <c r="C3570"/>
      <c r="D3570"/>
      <c r="E3570"/>
      <c r="F3570"/>
    </row>
    <row r="3571" spans="1:6">
      <c r="A3571"/>
      <c r="B3571"/>
      <c r="C3571"/>
      <c r="D3571"/>
      <c r="E3571"/>
      <c r="F3571"/>
    </row>
    <row r="3572" spans="1:6">
      <c r="A3572"/>
      <c r="B3572"/>
      <c r="C3572"/>
      <c r="D3572"/>
      <c r="E3572"/>
      <c r="F3572"/>
    </row>
    <row r="3573" spans="1:6">
      <c r="A3573"/>
      <c r="B3573"/>
      <c r="C3573"/>
      <c r="D3573"/>
      <c r="E3573"/>
      <c r="F3573"/>
    </row>
    <row r="3574" spans="1:6">
      <c r="A3574"/>
      <c r="B3574"/>
      <c r="C3574"/>
      <c r="D3574"/>
      <c r="E3574"/>
      <c r="F3574"/>
    </row>
    <row r="3575" spans="1:6">
      <c r="A3575"/>
      <c r="B3575"/>
      <c r="C3575"/>
      <c r="D3575"/>
      <c r="E3575"/>
      <c r="F3575"/>
    </row>
    <row r="3576" spans="1:6">
      <c r="A3576"/>
      <c r="B3576"/>
      <c r="C3576"/>
      <c r="D3576"/>
      <c r="E3576"/>
      <c r="F3576"/>
    </row>
    <row r="3577" spans="1:6">
      <c r="A3577"/>
      <c r="B3577"/>
      <c r="C3577"/>
      <c r="D3577"/>
      <c r="E3577"/>
      <c r="F3577"/>
    </row>
    <row r="3578" spans="1:6">
      <c r="A3578"/>
      <c r="B3578"/>
      <c r="C3578"/>
      <c r="D3578"/>
      <c r="E3578"/>
      <c r="F3578"/>
    </row>
    <row r="3579" spans="1:6">
      <c r="A3579"/>
      <c r="B3579"/>
      <c r="C3579"/>
      <c r="D3579"/>
      <c r="E3579"/>
      <c r="F3579"/>
    </row>
    <row r="3580" spans="1:6">
      <c r="A3580"/>
      <c r="B3580"/>
      <c r="C3580"/>
      <c r="D3580"/>
      <c r="E3580"/>
      <c r="F3580"/>
    </row>
    <row r="3581" spans="1:6">
      <c r="A3581"/>
      <c r="B3581"/>
      <c r="C3581"/>
      <c r="D3581"/>
      <c r="E3581"/>
      <c r="F3581"/>
    </row>
    <row r="3582" spans="1:6">
      <c r="A3582"/>
      <c r="B3582"/>
      <c r="C3582"/>
      <c r="D3582"/>
      <c r="E3582"/>
      <c r="F3582"/>
    </row>
    <row r="3583" spans="1:6">
      <c r="A3583"/>
      <c r="B3583"/>
      <c r="C3583"/>
      <c r="D3583"/>
      <c r="E3583"/>
      <c r="F3583"/>
    </row>
    <row r="3584" spans="1:6">
      <c r="A3584"/>
      <c r="B3584"/>
      <c r="C3584"/>
      <c r="D3584"/>
      <c r="E3584"/>
      <c r="F3584"/>
    </row>
    <row r="3585" spans="1:6">
      <c r="A3585"/>
      <c r="B3585"/>
      <c r="C3585"/>
      <c r="D3585"/>
      <c r="E3585"/>
      <c r="F3585"/>
    </row>
    <row r="3586" spans="1:6">
      <c r="A3586"/>
      <c r="B3586"/>
      <c r="C3586"/>
      <c r="D3586"/>
      <c r="E3586"/>
      <c r="F3586"/>
    </row>
    <row r="3587" spans="1:6">
      <c r="A3587"/>
      <c r="B3587"/>
      <c r="C3587"/>
      <c r="D3587"/>
      <c r="E3587"/>
      <c r="F3587"/>
    </row>
    <row r="3588" spans="1:6">
      <c r="A3588"/>
      <c r="B3588"/>
      <c r="C3588"/>
      <c r="D3588"/>
      <c r="E3588"/>
      <c r="F3588"/>
    </row>
    <row r="3589" spans="1:6">
      <c r="A3589"/>
      <c r="B3589"/>
      <c r="C3589"/>
      <c r="D3589"/>
      <c r="E3589"/>
      <c r="F3589"/>
    </row>
    <row r="3590" spans="1:6">
      <c r="A3590"/>
      <c r="B3590"/>
      <c r="C3590"/>
      <c r="D3590"/>
      <c r="E3590"/>
      <c r="F3590"/>
    </row>
    <row r="3591" spans="1:6">
      <c r="A3591"/>
      <c r="B3591"/>
      <c r="C3591"/>
      <c r="D3591"/>
      <c r="E3591"/>
      <c r="F3591"/>
    </row>
    <row r="3592" spans="1:6">
      <c r="A3592"/>
      <c r="B3592"/>
      <c r="C3592"/>
      <c r="D3592"/>
      <c r="E3592"/>
      <c r="F3592"/>
    </row>
    <row r="3593" spans="1:6">
      <c r="A3593"/>
      <c r="B3593"/>
      <c r="C3593"/>
      <c r="D3593"/>
      <c r="E3593"/>
      <c r="F3593"/>
    </row>
    <row r="3594" spans="1:6">
      <c r="A3594"/>
      <c r="B3594"/>
      <c r="C3594"/>
      <c r="D3594"/>
      <c r="E3594"/>
      <c r="F3594"/>
    </row>
    <row r="3595" spans="1:6">
      <c r="A3595"/>
      <c r="B3595"/>
      <c r="C3595"/>
      <c r="D3595"/>
      <c r="E3595"/>
      <c r="F3595"/>
    </row>
    <row r="3596" spans="1:6">
      <c r="A3596"/>
      <c r="B3596"/>
      <c r="C3596"/>
      <c r="D3596"/>
      <c r="E3596"/>
      <c r="F3596"/>
    </row>
    <row r="3597" spans="1:6">
      <c r="A3597"/>
      <c r="B3597"/>
      <c r="C3597"/>
      <c r="D3597"/>
      <c r="E3597"/>
      <c r="F3597"/>
    </row>
    <row r="3598" spans="1:6">
      <c r="A3598"/>
      <c r="B3598"/>
      <c r="C3598"/>
      <c r="D3598"/>
      <c r="E3598"/>
      <c r="F3598"/>
    </row>
    <row r="3599" spans="1:6">
      <c r="A3599"/>
      <c r="B3599"/>
      <c r="C3599"/>
      <c r="D3599"/>
      <c r="E3599"/>
      <c r="F3599"/>
    </row>
    <row r="3600" spans="1:6">
      <c r="A3600"/>
      <c r="B3600"/>
      <c r="C3600"/>
      <c r="D3600"/>
      <c r="E3600"/>
      <c r="F3600"/>
    </row>
    <row r="3601" spans="1:6">
      <c r="A3601"/>
      <c r="B3601"/>
      <c r="C3601"/>
      <c r="D3601"/>
      <c r="E3601"/>
      <c r="F3601"/>
    </row>
    <row r="3602" spans="1:6">
      <c r="A3602"/>
      <c r="B3602"/>
      <c r="C3602"/>
      <c r="D3602"/>
      <c r="E3602"/>
      <c r="F3602"/>
    </row>
    <row r="3603" spans="1:6">
      <c r="A3603"/>
      <c r="B3603"/>
      <c r="C3603"/>
      <c r="D3603"/>
      <c r="E3603"/>
      <c r="F3603"/>
    </row>
    <row r="3604" spans="1:6">
      <c r="A3604"/>
      <c r="B3604"/>
      <c r="C3604"/>
      <c r="D3604"/>
      <c r="E3604"/>
      <c r="F3604"/>
    </row>
    <row r="3605" spans="1:6">
      <c r="A3605"/>
      <c r="B3605"/>
      <c r="C3605"/>
      <c r="D3605"/>
      <c r="E3605"/>
      <c r="F3605"/>
    </row>
    <row r="3606" spans="1:6">
      <c r="A3606"/>
      <c r="B3606"/>
      <c r="C3606"/>
      <c r="D3606"/>
      <c r="E3606"/>
      <c r="F3606"/>
    </row>
    <row r="3607" spans="1:6">
      <c r="A3607"/>
      <c r="B3607"/>
      <c r="C3607"/>
      <c r="D3607"/>
      <c r="E3607"/>
      <c r="F3607"/>
    </row>
    <row r="3608" spans="1:6">
      <c r="A3608"/>
      <c r="B3608"/>
      <c r="C3608"/>
      <c r="D3608"/>
      <c r="E3608"/>
      <c r="F3608"/>
    </row>
    <row r="3609" spans="1:6">
      <c r="A3609"/>
      <c r="B3609"/>
      <c r="C3609"/>
      <c r="D3609"/>
      <c r="E3609"/>
      <c r="F3609"/>
    </row>
    <row r="3610" spans="1:6">
      <c r="A3610"/>
      <c r="B3610"/>
      <c r="C3610"/>
      <c r="D3610"/>
      <c r="E3610"/>
      <c r="F3610"/>
    </row>
    <row r="3611" spans="1:6">
      <c r="A3611"/>
      <c r="B3611"/>
      <c r="C3611"/>
      <c r="D3611"/>
      <c r="E3611"/>
      <c r="F3611"/>
    </row>
    <row r="3612" spans="1:6">
      <c r="A3612"/>
      <c r="B3612"/>
      <c r="C3612"/>
      <c r="D3612"/>
      <c r="E3612"/>
      <c r="F3612"/>
    </row>
    <row r="3613" spans="1:6">
      <c r="A3613"/>
      <c r="B3613"/>
      <c r="C3613"/>
      <c r="D3613"/>
      <c r="E3613"/>
      <c r="F3613"/>
    </row>
    <row r="3614" spans="1:6">
      <c r="A3614"/>
      <c r="B3614"/>
      <c r="C3614"/>
      <c r="D3614"/>
      <c r="E3614"/>
      <c r="F3614"/>
    </row>
    <row r="3615" spans="1:6">
      <c r="A3615"/>
      <c r="B3615"/>
      <c r="C3615"/>
      <c r="D3615"/>
      <c r="E3615"/>
      <c r="F3615"/>
    </row>
    <row r="3616" spans="1:6">
      <c r="A3616"/>
      <c r="B3616"/>
      <c r="C3616"/>
      <c r="D3616"/>
      <c r="E3616"/>
      <c r="F3616"/>
    </row>
    <row r="3617" spans="1:6">
      <c r="A3617"/>
      <c r="B3617"/>
      <c r="C3617"/>
      <c r="D3617"/>
      <c r="E3617"/>
      <c r="F3617"/>
    </row>
    <row r="3618" spans="1:6">
      <c r="A3618"/>
      <c r="B3618"/>
      <c r="C3618"/>
      <c r="D3618"/>
      <c r="E3618"/>
      <c r="F3618"/>
    </row>
    <row r="3619" spans="1:6">
      <c r="A3619"/>
      <c r="B3619"/>
      <c r="C3619"/>
      <c r="D3619"/>
      <c r="E3619"/>
      <c r="F3619"/>
    </row>
    <row r="3620" spans="1:6">
      <c r="A3620"/>
      <c r="B3620"/>
      <c r="C3620"/>
      <c r="D3620"/>
      <c r="E3620"/>
      <c r="F3620"/>
    </row>
    <row r="3621" spans="1:6">
      <c r="A3621"/>
      <c r="B3621"/>
      <c r="C3621"/>
      <c r="D3621"/>
      <c r="E3621"/>
      <c r="F3621"/>
    </row>
    <row r="3622" spans="1:6">
      <c r="A3622"/>
      <c r="B3622"/>
      <c r="C3622"/>
      <c r="D3622"/>
      <c r="E3622"/>
      <c r="F3622"/>
    </row>
    <row r="3623" spans="1:6">
      <c r="A3623"/>
      <c r="B3623"/>
      <c r="C3623"/>
      <c r="D3623"/>
      <c r="E3623"/>
      <c r="F3623"/>
    </row>
    <row r="3624" spans="1:6">
      <c r="A3624"/>
      <c r="B3624"/>
      <c r="C3624"/>
      <c r="D3624"/>
      <c r="E3624"/>
      <c r="F3624"/>
    </row>
    <row r="3625" spans="1:6">
      <c r="A3625"/>
      <c r="B3625"/>
      <c r="C3625"/>
      <c r="D3625"/>
      <c r="E3625"/>
      <c r="F3625"/>
    </row>
    <row r="3626" spans="1:6">
      <c r="A3626"/>
      <c r="B3626"/>
      <c r="C3626"/>
      <c r="D3626"/>
      <c r="E3626"/>
      <c r="F3626"/>
    </row>
    <row r="3627" spans="1:6">
      <c r="A3627"/>
      <c r="B3627"/>
      <c r="C3627"/>
      <c r="D3627"/>
      <c r="E3627"/>
      <c r="F3627"/>
    </row>
    <row r="3628" spans="1:6">
      <c r="A3628"/>
      <c r="B3628"/>
      <c r="C3628"/>
      <c r="D3628"/>
      <c r="E3628"/>
      <c r="F3628"/>
    </row>
    <row r="3629" spans="1:6">
      <c r="A3629"/>
      <c r="B3629"/>
      <c r="C3629"/>
      <c r="D3629"/>
      <c r="E3629"/>
      <c r="F3629"/>
    </row>
    <row r="3630" spans="1:6">
      <c r="A3630"/>
      <c r="B3630"/>
      <c r="C3630"/>
      <c r="D3630"/>
      <c r="E3630"/>
      <c r="F3630"/>
    </row>
    <row r="3631" spans="1:6">
      <c r="A3631"/>
      <c r="B3631"/>
      <c r="C3631"/>
      <c r="D3631"/>
      <c r="E3631"/>
      <c r="F3631"/>
    </row>
    <row r="3632" spans="1:6">
      <c r="A3632"/>
      <c r="B3632"/>
      <c r="C3632"/>
      <c r="D3632"/>
      <c r="E3632"/>
      <c r="F3632"/>
    </row>
    <row r="3633" spans="1:6">
      <c r="A3633"/>
      <c r="B3633"/>
      <c r="C3633"/>
      <c r="D3633"/>
      <c r="E3633"/>
      <c r="F3633"/>
    </row>
    <row r="3634" spans="1:6">
      <c r="A3634"/>
      <c r="B3634"/>
      <c r="C3634"/>
      <c r="D3634"/>
      <c r="E3634"/>
      <c r="F3634"/>
    </row>
    <row r="3635" spans="1:6">
      <c r="A3635"/>
      <c r="B3635"/>
      <c r="C3635"/>
      <c r="D3635"/>
      <c r="E3635"/>
      <c r="F3635"/>
    </row>
    <row r="3636" spans="1:6">
      <c r="A3636"/>
      <c r="B3636"/>
      <c r="C3636"/>
      <c r="D3636"/>
      <c r="E3636"/>
      <c r="F3636"/>
    </row>
    <row r="3637" spans="1:6">
      <c r="A3637"/>
      <c r="B3637"/>
      <c r="C3637"/>
      <c r="D3637"/>
      <c r="E3637"/>
      <c r="F3637"/>
    </row>
    <row r="3638" spans="1:6">
      <c r="A3638"/>
      <c r="B3638"/>
      <c r="C3638"/>
      <c r="D3638"/>
      <c r="E3638"/>
      <c r="F3638"/>
    </row>
    <row r="3639" spans="1:6">
      <c r="A3639"/>
      <c r="B3639"/>
      <c r="C3639"/>
      <c r="D3639"/>
      <c r="E3639"/>
      <c r="F3639"/>
    </row>
    <row r="3640" spans="1:6">
      <c r="A3640"/>
      <c r="B3640"/>
      <c r="C3640"/>
      <c r="D3640"/>
      <c r="E3640"/>
      <c r="F3640"/>
    </row>
    <row r="3641" spans="1:6">
      <c r="A3641"/>
      <c r="B3641"/>
      <c r="C3641"/>
      <c r="D3641"/>
      <c r="E3641"/>
      <c r="F3641"/>
    </row>
    <row r="3642" spans="1:6">
      <c r="A3642"/>
      <c r="B3642"/>
      <c r="C3642"/>
      <c r="D3642"/>
      <c r="E3642"/>
      <c r="F3642"/>
    </row>
    <row r="3643" spans="1:6">
      <c r="A3643"/>
      <c r="B3643"/>
      <c r="C3643"/>
      <c r="D3643"/>
      <c r="E3643"/>
      <c r="F3643"/>
    </row>
    <row r="3644" spans="1:6">
      <c r="A3644"/>
      <c r="B3644"/>
      <c r="C3644"/>
      <c r="D3644"/>
      <c r="E3644"/>
      <c r="F3644"/>
    </row>
    <row r="3645" spans="1:6">
      <c r="A3645"/>
      <c r="B3645"/>
      <c r="C3645"/>
      <c r="D3645"/>
      <c r="E3645"/>
      <c r="F3645"/>
    </row>
    <row r="3646" spans="1:6">
      <c r="A3646"/>
      <c r="B3646"/>
      <c r="C3646"/>
      <c r="D3646"/>
      <c r="E3646"/>
      <c r="F3646"/>
    </row>
    <row r="3647" spans="1:6">
      <c r="A3647"/>
      <c r="B3647"/>
      <c r="C3647"/>
      <c r="D3647"/>
      <c r="E3647"/>
      <c r="F3647"/>
    </row>
    <row r="3648" spans="1:6">
      <c r="A3648"/>
      <c r="B3648"/>
      <c r="C3648"/>
      <c r="D3648"/>
      <c r="E3648"/>
      <c r="F3648"/>
    </row>
    <row r="3649" spans="1:6">
      <c r="A3649"/>
      <c r="B3649"/>
      <c r="C3649"/>
      <c r="D3649"/>
      <c r="E3649"/>
      <c r="F3649"/>
    </row>
    <row r="3650" spans="1:6">
      <c r="A3650"/>
      <c r="B3650"/>
      <c r="C3650"/>
      <c r="D3650"/>
      <c r="E3650"/>
      <c r="F3650"/>
    </row>
    <row r="3651" spans="1:6">
      <c r="A3651"/>
      <c r="B3651"/>
      <c r="C3651"/>
      <c r="D3651"/>
      <c r="E3651"/>
      <c r="F3651"/>
    </row>
    <row r="3652" spans="1:6">
      <c r="A3652"/>
      <c r="B3652"/>
      <c r="C3652"/>
      <c r="D3652"/>
      <c r="E3652"/>
      <c r="F3652"/>
    </row>
    <row r="3653" spans="1:6">
      <c r="A3653"/>
      <c r="B3653"/>
      <c r="C3653"/>
      <c r="D3653"/>
      <c r="E3653"/>
      <c r="F3653"/>
    </row>
    <row r="3654" spans="1:6">
      <c r="A3654"/>
      <c r="B3654"/>
      <c r="C3654"/>
      <c r="D3654"/>
      <c r="E3654"/>
      <c r="F3654"/>
    </row>
    <row r="3655" spans="1:6">
      <c r="A3655"/>
      <c r="B3655"/>
      <c r="C3655"/>
      <c r="D3655"/>
      <c r="E3655"/>
      <c r="F3655"/>
    </row>
    <row r="3656" spans="1:6">
      <c r="A3656"/>
      <c r="B3656"/>
      <c r="C3656"/>
      <c r="D3656"/>
      <c r="E3656"/>
      <c r="F3656"/>
    </row>
    <row r="3657" spans="1:6">
      <c r="A3657"/>
      <c r="B3657"/>
      <c r="C3657"/>
      <c r="D3657"/>
      <c r="E3657"/>
      <c r="F3657"/>
    </row>
    <row r="3658" spans="1:6">
      <c r="A3658"/>
      <c r="B3658"/>
      <c r="C3658"/>
      <c r="D3658"/>
      <c r="E3658"/>
      <c r="F3658"/>
    </row>
    <row r="3659" spans="1:6">
      <c r="A3659"/>
      <c r="B3659"/>
      <c r="C3659"/>
      <c r="D3659"/>
      <c r="E3659"/>
      <c r="F3659"/>
    </row>
    <row r="3660" spans="1:6">
      <c r="A3660"/>
      <c r="B3660"/>
      <c r="C3660"/>
      <c r="D3660"/>
      <c r="E3660"/>
      <c r="F3660"/>
    </row>
    <row r="3661" spans="1:6">
      <c r="A3661"/>
      <c r="B3661"/>
      <c r="C3661"/>
      <c r="D3661"/>
      <c r="E3661"/>
      <c r="F3661"/>
    </row>
    <row r="3662" spans="1:6">
      <c r="A3662"/>
      <c r="B3662"/>
      <c r="C3662"/>
      <c r="D3662"/>
      <c r="E3662"/>
      <c r="F3662"/>
    </row>
    <row r="3663" spans="1:6">
      <c r="A3663"/>
      <c r="B3663"/>
      <c r="C3663"/>
      <c r="D3663"/>
      <c r="E3663"/>
      <c r="F3663"/>
    </row>
    <row r="3664" spans="1:6">
      <c r="A3664"/>
      <c r="B3664"/>
      <c r="C3664"/>
      <c r="D3664"/>
      <c r="E3664"/>
      <c r="F3664"/>
    </row>
    <row r="3665" spans="1:6">
      <c r="A3665"/>
      <c r="B3665"/>
      <c r="C3665"/>
      <c r="D3665"/>
      <c r="E3665"/>
      <c r="F3665"/>
    </row>
    <row r="3666" spans="1:6">
      <c r="A3666"/>
      <c r="B3666"/>
      <c r="C3666"/>
      <c r="D3666"/>
      <c r="E3666"/>
      <c r="F3666"/>
    </row>
    <row r="3667" spans="1:6">
      <c r="A3667"/>
      <c r="B3667"/>
      <c r="C3667"/>
      <c r="D3667"/>
      <c r="E3667"/>
      <c r="F3667"/>
    </row>
    <row r="3668" spans="1:6">
      <c r="A3668"/>
      <c r="B3668"/>
      <c r="C3668"/>
      <c r="D3668"/>
      <c r="E3668"/>
      <c r="F3668"/>
    </row>
    <row r="3669" spans="1:6">
      <c r="A3669"/>
      <c r="B3669"/>
      <c r="C3669"/>
      <c r="D3669"/>
      <c r="E3669"/>
      <c r="F3669"/>
    </row>
    <row r="3670" spans="1:6">
      <c r="A3670"/>
      <c r="B3670"/>
      <c r="C3670"/>
      <c r="D3670"/>
      <c r="E3670"/>
      <c r="F3670"/>
    </row>
    <row r="3671" spans="1:6">
      <c r="A3671"/>
      <c r="B3671"/>
      <c r="C3671"/>
      <c r="D3671"/>
      <c r="E3671"/>
      <c r="F3671"/>
    </row>
    <row r="3672" spans="1:6">
      <c r="A3672"/>
      <c r="B3672"/>
      <c r="C3672"/>
      <c r="D3672"/>
      <c r="E3672"/>
      <c r="F3672"/>
    </row>
    <row r="3673" spans="1:6">
      <c r="A3673"/>
      <c r="B3673"/>
      <c r="C3673"/>
      <c r="D3673"/>
      <c r="E3673"/>
      <c r="F3673"/>
    </row>
    <row r="3674" spans="1:6">
      <c r="A3674"/>
      <c r="B3674"/>
      <c r="C3674"/>
      <c r="D3674"/>
      <c r="E3674"/>
      <c r="F3674"/>
    </row>
    <row r="3675" spans="1:6">
      <c r="A3675"/>
      <c r="B3675"/>
      <c r="C3675"/>
      <c r="D3675"/>
      <c r="E3675"/>
      <c r="F3675"/>
    </row>
    <row r="3676" spans="1:6">
      <c r="A3676"/>
      <c r="B3676"/>
      <c r="C3676"/>
      <c r="D3676"/>
      <c r="E3676"/>
      <c r="F3676"/>
    </row>
    <row r="3677" spans="1:6">
      <c r="A3677"/>
      <c r="B3677"/>
      <c r="C3677"/>
      <c r="D3677"/>
      <c r="E3677"/>
      <c r="F3677"/>
    </row>
    <row r="3678" spans="1:6">
      <c r="A3678"/>
      <c r="B3678"/>
      <c r="C3678"/>
      <c r="D3678"/>
      <c r="E3678"/>
      <c r="F3678"/>
    </row>
    <row r="3679" spans="1:6">
      <c r="A3679"/>
      <c r="B3679"/>
      <c r="C3679"/>
      <c r="D3679"/>
      <c r="E3679"/>
      <c r="F3679"/>
    </row>
    <row r="3680" spans="1:6">
      <c r="A3680"/>
      <c r="B3680"/>
      <c r="C3680"/>
      <c r="D3680"/>
      <c r="E3680"/>
      <c r="F3680"/>
    </row>
    <row r="3681" spans="1:6">
      <c r="A3681"/>
      <c r="B3681"/>
      <c r="C3681"/>
      <c r="D3681"/>
      <c r="E3681"/>
      <c r="F3681"/>
    </row>
    <row r="3682" spans="1:6">
      <c r="A3682"/>
      <c r="B3682"/>
      <c r="C3682"/>
      <c r="D3682"/>
      <c r="E3682"/>
      <c r="F3682"/>
    </row>
    <row r="3683" spans="1:6">
      <c r="A3683"/>
      <c r="B3683"/>
      <c r="C3683"/>
      <c r="D3683"/>
      <c r="E3683"/>
      <c r="F3683"/>
    </row>
    <row r="3684" spans="1:6">
      <c r="A3684"/>
      <c r="B3684"/>
      <c r="C3684"/>
      <c r="D3684"/>
      <c r="E3684"/>
      <c r="F3684"/>
    </row>
    <row r="3685" spans="1:6">
      <c r="A3685"/>
      <c r="B3685"/>
      <c r="C3685"/>
      <c r="D3685"/>
      <c r="E3685"/>
      <c r="F3685"/>
    </row>
    <row r="3686" spans="1:6">
      <c r="A3686"/>
      <c r="B3686"/>
      <c r="C3686"/>
      <c r="D3686"/>
      <c r="E3686"/>
      <c r="F3686"/>
    </row>
    <row r="3687" spans="1:6">
      <c r="A3687"/>
      <c r="B3687"/>
      <c r="C3687"/>
      <c r="D3687"/>
      <c r="E3687"/>
      <c r="F3687"/>
    </row>
    <row r="3688" spans="1:6">
      <c r="A3688"/>
      <c r="B3688"/>
      <c r="C3688"/>
      <c r="D3688"/>
      <c r="E3688"/>
      <c r="F3688"/>
    </row>
    <row r="3689" spans="1:6">
      <c r="A3689"/>
      <c r="B3689"/>
      <c r="C3689"/>
      <c r="D3689"/>
      <c r="E3689"/>
      <c r="F3689"/>
    </row>
    <row r="3690" spans="1:6">
      <c r="A3690"/>
      <c r="B3690"/>
      <c r="C3690"/>
      <c r="D3690"/>
      <c r="E3690"/>
      <c r="F3690"/>
    </row>
    <row r="3691" spans="1:6">
      <c r="A3691"/>
      <c r="B3691"/>
      <c r="C3691"/>
      <c r="D3691"/>
      <c r="E3691"/>
      <c r="F3691"/>
    </row>
    <row r="3692" spans="1:6">
      <c r="A3692"/>
      <c r="B3692"/>
      <c r="C3692"/>
      <c r="D3692"/>
      <c r="E3692"/>
      <c r="F3692"/>
    </row>
    <row r="3693" spans="1:6">
      <c r="A3693"/>
      <c r="B3693"/>
      <c r="C3693"/>
      <c r="D3693"/>
      <c r="E3693"/>
      <c r="F3693"/>
    </row>
    <row r="3694" spans="1:6">
      <c r="A3694"/>
      <c r="B3694"/>
      <c r="C3694"/>
      <c r="D3694"/>
      <c r="E3694"/>
      <c r="F3694"/>
    </row>
    <row r="3695" spans="1:6">
      <c r="A3695"/>
      <c r="B3695"/>
      <c r="C3695"/>
      <c r="D3695"/>
      <c r="E3695"/>
      <c r="F3695"/>
    </row>
    <row r="3696" spans="1:6">
      <c r="A3696"/>
      <c r="B3696"/>
      <c r="C3696"/>
      <c r="D3696"/>
      <c r="E3696"/>
      <c r="F3696"/>
    </row>
    <row r="3697" spans="1:6">
      <c r="A3697"/>
      <c r="B3697"/>
      <c r="C3697"/>
      <c r="D3697"/>
      <c r="E3697"/>
      <c r="F3697"/>
    </row>
    <row r="3698" spans="1:6">
      <c r="A3698"/>
      <c r="B3698"/>
      <c r="C3698"/>
      <c r="D3698"/>
      <c r="E3698"/>
      <c r="F3698"/>
    </row>
    <row r="3699" spans="1:6">
      <c r="A3699"/>
      <c r="B3699"/>
      <c r="C3699"/>
      <c r="D3699"/>
      <c r="E3699"/>
      <c r="F3699"/>
    </row>
    <row r="3700" spans="1:6">
      <c r="A3700"/>
      <c r="B3700"/>
      <c r="C3700"/>
      <c r="D3700"/>
      <c r="E3700"/>
      <c r="F3700"/>
    </row>
    <row r="3701" spans="1:6">
      <c r="A3701"/>
      <c r="B3701"/>
      <c r="C3701"/>
      <c r="D3701"/>
      <c r="E3701"/>
      <c r="F3701"/>
    </row>
    <row r="3702" spans="1:6">
      <c r="A3702"/>
      <c r="B3702"/>
      <c r="C3702"/>
      <c r="D3702"/>
      <c r="E3702"/>
      <c r="F3702"/>
    </row>
    <row r="3703" spans="1:6">
      <c r="A3703"/>
      <c r="B3703"/>
      <c r="C3703"/>
      <c r="D3703"/>
      <c r="E3703"/>
      <c r="F3703"/>
    </row>
    <row r="3704" spans="1:6">
      <c r="A3704"/>
      <c r="B3704"/>
      <c r="C3704"/>
      <c r="D3704"/>
      <c r="E3704"/>
      <c r="F3704"/>
    </row>
    <row r="3705" spans="1:6">
      <c r="A3705"/>
      <c r="B3705"/>
      <c r="C3705"/>
      <c r="D3705"/>
      <c r="E3705"/>
      <c r="F3705"/>
    </row>
    <row r="3706" spans="1:6">
      <c r="A3706"/>
      <c r="B3706"/>
      <c r="C3706"/>
      <c r="D3706"/>
      <c r="E3706"/>
      <c r="F3706"/>
    </row>
    <row r="3707" spans="1:6">
      <c r="A3707"/>
      <c r="B3707"/>
      <c r="C3707"/>
      <c r="D3707"/>
      <c r="E3707"/>
      <c r="F3707"/>
    </row>
    <row r="3708" spans="1:6">
      <c r="A3708"/>
      <c r="B3708"/>
      <c r="C3708"/>
      <c r="D3708"/>
      <c r="E3708"/>
      <c r="F3708"/>
    </row>
    <row r="3709" spans="1:6">
      <c r="A3709"/>
      <c r="B3709"/>
      <c r="C3709"/>
      <c r="D3709"/>
      <c r="E3709"/>
      <c r="F3709"/>
    </row>
    <row r="3710" spans="1:6">
      <c r="A3710"/>
      <c r="B3710"/>
      <c r="C3710"/>
      <c r="D3710"/>
      <c r="E3710"/>
      <c r="F3710"/>
    </row>
    <row r="3711" spans="1:6">
      <c r="A3711"/>
      <c r="B3711"/>
      <c r="C3711"/>
      <c r="D3711"/>
      <c r="E3711"/>
      <c r="F3711"/>
    </row>
    <row r="3712" spans="1:6">
      <c r="A3712"/>
      <c r="B3712"/>
      <c r="C3712"/>
      <c r="D3712"/>
      <c r="E3712"/>
      <c r="F3712"/>
    </row>
    <row r="3713" spans="1:6">
      <c r="A3713"/>
      <c r="B3713"/>
      <c r="C3713"/>
      <c r="D3713"/>
      <c r="E3713"/>
      <c r="F3713"/>
    </row>
    <row r="3714" spans="1:6">
      <c r="A3714"/>
      <c r="B3714"/>
      <c r="C3714"/>
      <c r="D3714"/>
      <c r="E3714"/>
      <c r="F3714"/>
    </row>
    <row r="3715" spans="1:6">
      <c r="A3715"/>
      <c r="B3715"/>
      <c r="C3715"/>
      <c r="D3715"/>
      <c r="E3715"/>
      <c r="F3715"/>
    </row>
    <row r="3716" spans="1:6">
      <c r="A3716"/>
      <c r="B3716"/>
      <c r="C3716"/>
      <c r="D3716"/>
      <c r="E3716"/>
      <c r="F3716"/>
    </row>
    <row r="3717" spans="1:6">
      <c r="A3717"/>
      <c r="B3717"/>
      <c r="C3717"/>
      <c r="D3717"/>
      <c r="E3717"/>
      <c r="F3717"/>
    </row>
    <row r="3718" spans="1:6">
      <c r="A3718"/>
      <c r="B3718"/>
      <c r="C3718"/>
      <c r="D3718"/>
      <c r="E3718"/>
      <c r="F3718"/>
    </row>
    <row r="3719" spans="1:6">
      <c r="A3719"/>
      <c r="B3719"/>
      <c r="C3719"/>
      <c r="D3719"/>
      <c r="E3719"/>
      <c r="F3719"/>
    </row>
    <row r="3720" spans="1:6">
      <c r="A3720"/>
      <c r="B3720"/>
      <c r="C3720"/>
      <c r="D3720"/>
      <c r="E3720"/>
      <c r="F3720"/>
    </row>
    <row r="3721" spans="1:6">
      <c r="A3721"/>
      <c r="B3721"/>
      <c r="C3721"/>
      <c r="D3721"/>
      <c r="E3721"/>
      <c r="F3721"/>
    </row>
    <row r="3722" spans="1:6">
      <c r="A3722"/>
      <c r="B3722"/>
      <c r="C3722"/>
      <c r="D3722"/>
      <c r="E3722"/>
      <c r="F3722"/>
    </row>
    <row r="3723" spans="1:6">
      <c r="A3723"/>
      <c r="B3723"/>
      <c r="C3723"/>
      <c r="D3723"/>
      <c r="E3723"/>
      <c r="F3723"/>
    </row>
    <row r="3724" spans="1:6">
      <c r="A3724"/>
      <c r="B3724"/>
      <c r="C3724"/>
      <c r="D3724"/>
      <c r="E3724"/>
      <c r="F3724"/>
    </row>
    <row r="3725" spans="1:6">
      <c r="A3725"/>
      <c r="B3725"/>
      <c r="C3725"/>
      <c r="D3725"/>
      <c r="E3725"/>
      <c r="F3725"/>
    </row>
    <row r="3726" spans="1:6">
      <c r="A3726"/>
      <c r="B3726"/>
      <c r="C3726"/>
      <c r="D3726"/>
      <c r="E3726"/>
      <c r="F3726"/>
    </row>
    <row r="3727" spans="1:6">
      <c r="A3727"/>
      <c r="B3727"/>
      <c r="C3727"/>
      <c r="D3727"/>
      <c r="E3727"/>
      <c r="F3727"/>
    </row>
    <row r="3728" spans="1:6">
      <c r="A3728"/>
      <c r="B3728"/>
      <c r="C3728"/>
      <c r="D3728"/>
      <c r="E3728"/>
      <c r="F3728"/>
    </row>
    <row r="3729" spans="1:6">
      <c r="A3729"/>
      <c r="B3729"/>
      <c r="C3729"/>
      <c r="D3729"/>
      <c r="E3729"/>
      <c r="F3729"/>
    </row>
    <row r="3730" spans="1:6">
      <c r="A3730"/>
      <c r="B3730"/>
      <c r="C3730"/>
      <c r="D3730"/>
      <c r="E3730"/>
      <c r="F3730"/>
    </row>
    <row r="3731" spans="1:6">
      <c r="A3731"/>
      <c r="B3731"/>
      <c r="C3731"/>
      <c r="D3731"/>
      <c r="E3731"/>
      <c r="F3731"/>
    </row>
    <row r="3732" spans="1:6">
      <c r="A3732"/>
      <c r="B3732"/>
      <c r="C3732"/>
      <c r="D3732"/>
      <c r="E3732"/>
      <c r="F3732"/>
    </row>
    <row r="3733" spans="1:6">
      <c r="A3733"/>
      <c r="B3733"/>
      <c r="C3733"/>
      <c r="D3733"/>
      <c r="E3733"/>
      <c r="F3733"/>
    </row>
    <row r="3734" spans="1:6">
      <c r="A3734"/>
      <c r="B3734"/>
      <c r="C3734"/>
      <c r="D3734"/>
      <c r="E3734"/>
      <c r="F3734"/>
    </row>
    <row r="3735" spans="1:6">
      <c r="A3735"/>
      <c r="B3735"/>
      <c r="C3735"/>
      <c r="D3735"/>
      <c r="E3735"/>
      <c r="F3735"/>
    </row>
    <row r="3736" spans="1:6">
      <c r="A3736"/>
      <c r="B3736"/>
      <c r="C3736"/>
      <c r="D3736"/>
      <c r="E3736"/>
      <c r="F3736"/>
    </row>
    <row r="3737" spans="1:6">
      <c r="A3737"/>
      <c r="B3737"/>
      <c r="C3737"/>
      <c r="D3737"/>
      <c r="E3737"/>
      <c r="F3737"/>
    </row>
    <row r="3738" spans="1:6">
      <c r="A3738"/>
      <c r="B3738"/>
      <c r="C3738"/>
      <c r="D3738"/>
      <c r="E3738"/>
      <c r="F3738"/>
    </row>
    <row r="3739" spans="1:6">
      <c r="A3739"/>
      <c r="B3739"/>
      <c r="C3739"/>
      <c r="D3739"/>
      <c r="E3739"/>
      <c r="F3739"/>
    </row>
    <row r="3740" spans="1:6">
      <c r="A3740"/>
      <c r="B3740"/>
      <c r="C3740"/>
      <c r="D3740"/>
      <c r="E3740"/>
      <c r="F3740"/>
    </row>
    <row r="3741" spans="1:6">
      <c r="A3741"/>
      <c r="B3741"/>
      <c r="C3741"/>
      <c r="D3741"/>
      <c r="E3741"/>
      <c r="F3741"/>
    </row>
    <row r="3742" spans="1:6">
      <c r="A3742"/>
      <c r="B3742"/>
      <c r="C3742"/>
      <c r="D3742"/>
      <c r="E3742"/>
      <c r="F3742"/>
    </row>
    <row r="3743" spans="1:6">
      <c r="A3743"/>
      <c r="B3743"/>
      <c r="C3743"/>
      <c r="D3743"/>
      <c r="E3743"/>
      <c r="F3743"/>
    </row>
    <row r="3744" spans="1:6">
      <c r="A3744"/>
      <c r="B3744"/>
      <c r="C3744"/>
      <c r="D3744"/>
      <c r="E3744"/>
      <c r="F3744"/>
    </row>
    <row r="3745" spans="1:6">
      <c r="A3745"/>
      <c r="B3745"/>
      <c r="C3745"/>
      <c r="D3745"/>
      <c r="E3745"/>
      <c r="F3745"/>
    </row>
    <row r="3746" spans="1:6">
      <c r="A3746"/>
      <c r="B3746"/>
      <c r="C3746"/>
      <c r="D3746"/>
      <c r="E3746"/>
      <c r="F3746"/>
    </row>
    <row r="3747" spans="1:6">
      <c r="A3747"/>
      <c r="B3747"/>
      <c r="C3747"/>
      <c r="D3747"/>
      <c r="E3747"/>
      <c r="F3747"/>
    </row>
    <row r="3748" spans="1:6">
      <c r="A3748"/>
      <c r="B3748"/>
      <c r="C3748"/>
      <c r="D3748"/>
      <c r="E3748"/>
      <c r="F3748"/>
    </row>
    <row r="3749" spans="1:6">
      <c r="A3749"/>
      <c r="B3749"/>
      <c r="C3749"/>
      <c r="D3749"/>
      <c r="E3749"/>
      <c r="F3749"/>
    </row>
    <row r="3750" spans="1:6">
      <c r="A3750"/>
      <c r="B3750"/>
      <c r="C3750"/>
      <c r="D3750"/>
      <c r="E3750"/>
      <c r="F3750"/>
    </row>
    <row r="3751" spans="1:6">
      <c r="A3751"/>
      <c r="B3751"/>
      <c r="C3751"/>
      <c r="D3751"/>
      <c r="E3751"/>
      <c r="F3751"/>
    </row>
    <row r="3752" spans="1:6">
      <c r="A3752"/>
      <c r="B3752"/>
      <c r="C3752"/>
      <c r="D3752"/>
      <c r="E3752"/>
      <c r="F3752"/>
    </row>
    <row r="3753" spans="1:6">
      <c r="A3753"/>
      <c r="B3753"/>
      <c r="C3753"/>
      <c r="D3753"/>
      <c r="E3753"/>
      <c r="F3753"/>
    </row>
    <row r="3754" spans="1:6">
      <c r="A3754"/>
      <c r="B3754"/>
      <c r="C3754"/>
      <c r="D3754"/>
      <c r="E3754"/>
      <c r="F3754"/>
    </row>
    <row r="3755" spans="1:6">
      <c r="A3755"/>
      <c r="B3755"/>
      <c r="C3755"/>
      <c r="D3755"/>
      <c r="E3755"/>
      <c r="F3755"/>
    </row>
    <row r="3756" spans="1:6">
      <c r="A3756"/>
      <c r="B3756"/>
      <c r="C3756"/>
      <c r="D3756"/>
      <c r="E3756"/>
      <c r="F3756"/>
    </row>
    <row r="3757" spans="1:6">
      <c r="A3757"/>
      <c r="B3757"/>
      <c r="C3757"/>
      <c r="D3757"/>
      <c r="E3757"/>
      <c r="F3757"/>
    </row>
    <row r="3758" spans="1:6">
      <c r="A3758"/>
      <c r="B3758"/>
      <c r="C3758"/>
      <c r="D3758"/>
      <c r="E3758"/>
      <c r="F3758"/>
    </row>
    <row r="3759" spans="1:6">
      <c r="A3759"/>
      <c r="B3759"/>
      <c r="C3759"/>
      <c r="D3759"/>
      <c r="E3759"/>
      <c r="F3759"/>
    </row>
    <row r="3760" spans="1:6">
      <c r="A3760"/>
      <c r="B3760"/>
      <c r="C3760"/>
      <c r="D3760"/>
      <c r="E3760"/>
      <c r="F3760"/>
    </row>
    <row r="3761" spans="1:6">
      <c r="A3761"/>
      <c r="B3761"/>
      <c r="C3761"/>
      <c r="D3761"/>
      <c r="E3761"/>
      <c r="F3761"/>
    </row>
    <row r="3762" spans="1:6">
      <c r="A3762"/>
      <c r="B3762"/>
      <c r="C3762"/>
      <c r="D3762"/>
      <c r="E3762"/>
      <c r="F3762"/>
    </row>
    <row r="3763" spans="1:6">
      <c r="A3763"/>
      <c r="B3763"/>
      <c r="C3763"/>
      <c r="D3763"/>
      <c r="E3763"/>
      <c r="F3763"/>
    </row>
    <row r="3764" spans="1:6">
      <c r="A3764"/>
      <c r="B3764"/>
      <c r="C3764"/>
      <c r="D3764"/>
      <c r="E3764"/>
      <c r="F3764"/>
    </row>
    <row r="3765" spans="1:6">
      <c r="A3765"/>
      <c r="B3765"/>
      <c r="C3765"/>
      <c r="D3765"/>
      <c r="E3765"/>
      <c r="F3765"/>
    </row>
    <row r="3766" spans="1:6">
      <c r="A3766"/>
      <c r="B3766"/>
      <c r="C3766"/>
      <c r="D3766"/>
      <c r="E3766"/>
      <c r="F3766"/>
    </row>
    <row r="3767" spans="1:6">
      <c r="A3767"/>
      <c r="B3767"/>
      <c r="C3767"/>
      <c r="D3767"/>
      <c r="E3767"/>
      <c r="F3767"/>
    </row>
    <row r="3768" spans="1:6">
      <c r="A3768"/>
      <c r="B3768"/>
      <c r="C3768"/>
      <c r="D3768"/>
      <c r="E3768"/>
      <c r="F3768"/>
    </row>
    <row r="3769" spans="1:6">
      <c r="A3769"/>
      <c r="B3769"/>
      <c r="C3769"/>
      <c r="D3769"/>
      <c r="E3769"/>
      <c r="F3769"/>
    </row>
    <row r="3770" spans="1:6">
      <c r="A3770"/>
      <c r="B3770"/>
      <c r="C3770"/>
      <c r="D3770"/>
      <c r="E3770"/>
      <c r="F3770"/>
    </row>
    <row r="3771" spans="1:6">
      <c r="A3771"/>
      <c r="B3771"/>
      <c r="C3771"/>
      <c r="D3771"/>
      <c r="E3771"/>
      <c r="F3771"/>
    </row>
    <row r="3772" spans="1:6">
      <c r="A3772"/>
      <c r="B3772"/>
      <c r="C3772"/>
      <c r="D3772"/>
      <c r="E3772"/>
      <c r="F3772"/>
    </row>
    <row r="3773" spans="1:6">
      <c r="A3773"/>
      <c r="B3773"/>
      <c r="C3773"/>
      <c r="D3773"/>
      <c r="E3773"/>
      <c r="F3773"/>
    </row>
    <row r="3774" spans="1:6">
      <c r="A3774"/>
      <c r="B3774"/>
      <c r="C3774"/>
      <c r="D3774"/>
      <c r="E3774"/>
      <c r="F3774"/>
    </row>
    <row r="3775" spans="1:6">
      <c r="A3775"/>
      <c r="B3775"/>
      <c r="C3775"/>
      <c r="D3775"/>
      <c r="E3775"/>
      <c r="F3775"/>
    </row>
    <row r="3776" spans="1:6">
      <c r="A3776"/>
      <c r="B3776"/>
      <c r="C3776"/>
      <c r="D3776"/>
      <c r="E3776"/>
      <c r="F3776"/>
    </row>
    <row r="3777" spans="1:6">
      <c r="A3777"/>
      <c r="B3777"/>
      <c r="C3777"/>
      <c r="D3777"/>
      <c r="E3777"/>
      <c r="F3777"/>
    </row>
    <row r="3778" spans="1:6">
      <c r="A3778"/>
      <c r="B3778"/>
      <c r="C3778"/>
      <c r="D3778"/>
      <c r="E3778"/>
      <c r="F3778"/>
    </row>
    <row r="3779" spans="1:6">
      <c r="A3779"/>
      <c r="B3779"/>
      <c r="C3779"/>
      <c r="D3779"/>
      <c r="E3779"/>
      <c r="F3779"/>
    </row>
    <row r="3780" spans="1:6">
      <c r="A3780"/>
      <c r="B3780"/>
      <c r="C3780"/>
      <c r="D3780"/>
      <c r="E3780"/>
      <c r="F3780"/>
    </row>
    <row r="3781" spans="1:6">
      <c r="A3781"/>
      <c r="B3781"/>
      <c r="C3781"/>
      <c r="D3781"/>
      <c r="E3781"/>
      <c r="F3781"/>
    </row>
    <row r="3782" spans="1:6">
      <c r="A3782"/>
      <c r="B3782"/>
      <c r="C3782"/>
      <c r="D3782"/>
      <c r="E3782"/>
      <c r="F3782"/>
    </row>
    <row r="3783" spans="1:6">
      <c r="A3783"/>
      <c r="B3783"/>
      <c r="C3783"/>
      <c r="D3783"/>
      <c r="E3783"/>
      <c r="F3783"/>
    </row>
    <row r="3784" spans="1:6">
      <c r="A3784"/>
      <c r="B3784"/>
      <c r="C3784"/>
      <c r="D3784"/>
      <c r="E3784"/>
      <c r="F3784"/>
    </row>
    <row r="3785" spans="1:6">
      <c r="A3785"/>
      <c r="B3785"/>
      <c r="C3785"/>
      <c r="D3785"/>
      <c r="E3785"/>
      <c r="F3785"/>
    </row>
    <row r="3786" spans="1:6">
      <c r="A3786"/>
      <c r="B3786"/>
      <c r="C3786"/>
      <c r="D3786"/>
      <c r="E3786"/>
      <c r="F3786"/>
    </row>
    <row r="3787" spans="1:6">
      <c r="A3787"/>
      <c r="B3787"/>
      <c r="C3787"/>
      <c r="D3787"/>
      <c r="E3787"/>
      <c r="F3787"/>
    </row>
    <row r="3788" spans="1:6">
      <c r="A3788"/>
      <c r="B3788"/>
      <c r="C3788"/>
      <c r="D3788"/>
      <c r="E3788"/>
      <c r="F3788"/>
    </row>
    <row r="3789" spans="1:6">
      <c r="A3789"/>
      <c r="B3789"/>
      <c r="C3789"/>
      <c r="D3789"/>
      <c r="E3789"/>
      <c r="F3789"/>
    </row>
    <row r="3790" spans="1:6">
      <c r="A3790"/>
      <c r="B3790"/>
      <c r="C3790"/>
      <c r="D3790"/>
      <c r="E3790"/>
      <c r="F3790"/>
    </row>
    <row r="3791" spans="1:6">
      <c r="A3791"/>
      <c r="B3791"/>
      <c r="C3791"/>
      <c r="D3791"/>
      <c r="E3791"/>
      <c r="F3791"/>
    </row>
    <row r="3792" spans="1:6">
      <c r="A3792"/>
      <c r="B3792"/>
      <c r="C3792"/>
      <c r="D3792"/>
      <c r="E3792"/>
      <c r="F3792"/>
    </row>
    <row r="3793" spans="1:6">
      <c r="A3793"/>
      <c r="B3793"/>
      <c r="C3793"/>
      <c r="D3793"/>
      <c r="E3793"/>
      <c r="F3793"/>
    </row>
    <row r="3794" spans="1:6">
      <c r="A3794"/>
      <c r="B3794"/>
      <c r="C3794"/>
      <c r="D3794"/>
      <c r="E3794"/>
      <c r="F3794"/>
    </row>
    <row r="3795" spans="1:6">
      <c r="A3795"/>
      <c r="B3795"/>
      <c r="C3795"/>
      <c r="D3795"/>
      <c r="E3795"/>
      <c r="F3795"/>
    </row>
    <row r="3796" spans="1:6">
      <c r="A3796"/>
      <c r="B3796"/>
      <c r="C3796"/>
      <c r="D3796"/>
      <c r="E3796"/>
      <c r="F3796"/>
    </row>
    <row r="3797" spans="1:6">
      <c r="A3797"/>
      <c r="B3797"/>
      <c r="C3797"/>
      <c r="D3797"/>
      <c r="E3797"/>
      <c r="F3797"/>
    </row>
    <row r="3798" spans="1:6">
      <c r="A3798"/>
      <c r="B3798"/>
      <c r="C3798"/>
      <c r="D3798"/>
      <c r="E3798"/>
      <c r="F3798"/>
    </row>
    <row r="3799" spans="1:6">
      <c r="A3799"/>
      <c r="B3799"/>
      <c r="C3799"/>
      <c r="D3799"/>
      <c r="E3799"/>
      <c r="F3799"/>
    </row>
    <row r="3800" spans="1:6">
      <c r="A3800"/>
      <c r="B3800"/>
      <c r="C3800"/>
      <c r="D3800"/>
      <c r="E3800"/>
      <c r="F3800"/>
    </row>
    <row r="3801" spans="1:6">
      <c r="A3801"/>
      <c r="B3801"/>
      <c r="C3801"/>
      <c r="D3801"/>
      <c r="E3801"/>
      <c r="F3801"/>
    </row>
    <row r="3802" spans="1:6">
      <c r="A3802"/>
      <c r="B3802"/>
      <c r="C3802"/>
      <c r="D3802"/>
      <c r="E3802"/>
      <c r="F3802"/>
    </row>
    <row r="3803" spans="1:6">
      <c r="A3803"/>
      <c r="B3803"/>
      <c r="C3803"/>
      <c r="D3803"/>
      <c r="E3803"/>
      <c r="F3803"/>
    </row>
    <row r="3804" spans="1:6">
      <c r="A3804"/>
      <c r="B3804"/>
      <c r="C3804"/>
      <c r="D3804"/>
      <c r="E3804"/>
      <c r="F3804"/>
    </row>
    <row r="3805" spans="1:6">
      <c r="A3805"/>
      <c r="B3805"/>
      <c r="C3805"/>
      <c r="D3805"/>
      <c r="E3805"/>
      <c r="F3805"/>
    </row>
    <row r="3806" spans="1:6">
      <c r="A3806"/>
      <c r="B3806"/>
      <c r="C3806"/>
      <c r="D3806"/>
      <c r="E3806"/>
      <c r="F3806"/>
    </row>
    <row r="3807" spans="1:6">
      <c r="A3807"/>
      <c r="B3807"/>
      <c r="C3807"/>
      <c r="D3807"/>
      <c r="E3807"/>
      <c r="F3807"/>
    </row>
    <row r="3808" spans="1:6">
      <c r="A3808"/>
      <c r="B3808"/>
      <c r="C3808"/>
      <c r="D3808"/>
      <c r="E3808"/>
      <c r="F3808"/>
    </row>
    <row r="3809" spans="1:6">
      <c r="A3809"/>
      <c r="B3809"/>
      <c r="C3809"/>
      <c r="D3809"/>
      <c r="E3809"/>
      <c r="F3809"/>
    </row>
    <row r="3810" spans="1:6">
      <c r="A3810"/>
      <c r="B3810"/>
      <c r="C3810"/>
      <c r="D3810"/>
      <c r="E3810"/>
      <c r="F3810"/>
    </row>
    <row r="3811" spans="1:6">
      <c r="A3811"/>
      <c r="B3811"/>
      <c r="C3811"/>
      <c r="D3811"/>
      <c r="E3811"/>
      <c r="F3811"/>
    </row>
    <row r="3812" spans="1:6">
      <c r="A3812"/>
      <c r="B3812"/>
      <c r="C3812"/>
      <c r="D3812"/>
      <c r="E3812"/>
      <c r="F3812"/>
    </row>
    <row r="3813" spans="1:6">
      <c r="A3813"/>
      <c r="B3813"/>
      <c r="C3813"/>
      <c r="D3813"/>
      <c r="E3813"/>
      <c r="F3813"/>
    </row>
    <row r="3814" spans="1:6">
      <c r="A3814"/>
      <c r="B3814"/>
      <c r="C3814"/>
      <c r="D3814"/>
      <c r="E3814"/>
      <c r="F3814"/>
    </row>
    <row r="3815" spans="1:6">
      <c r="A3815"/>
      <c r="B3815"/>
      <c r="C3815"/>
      <c r="D3815"/>
      <c r="E3815"/>
      <c r="F3815"/>
    </row>
    <row r="3816" spans="1:6">
      <c r="A3816"/>
      <c r="B3816"/>
      <c r="C3816"/>
      <c r="D3816"/>
      <c r="E3816"/>
      <c r="F3816"/>
    </row>
    <row r="3817" spans="1:6">
      <c r="A3817"/>
      <c r="B3817"/>
      <c r="C3817"/>
      <c r="D3817"/>
      <c r="E3817"/>
      <c r="F3817"/>
    </row>
    <row r="3818" spans="1:6">
      <c r="A3818"/>
      <c r="B3818"/>
      <c r="C3818"/>
      <c r="D3818"/>
      <c r="E3818"/>
      <c r="F3818"/>
    </row>
    <row r="3819" spans="1:6">
      <c r="A3819"/>
      <c r="B3819"/>
      <c r="C3819"/>
      <c r="D3819"/>
      <c r="E3819"/>
      <c r="F3819"/>
    </row>
    <row r="3820" spans="1:6">
      <c r="A3820"/>
      <c r="B3820"/>
      <c r="C3820"/>
      <c r="D3820"/>
      <c r="E3820"/>
      <c r="F3820"/>
    </row>
    <row r="3821" spans="1:6">
      <c r="A3821"/>
      <c r="B3821"/>
      <c r="C3821"/>
      <c r="D3821"/>
      <c r="E3821"/>
      <c r="F3821"/>
    </row>
    <row r="3822" spans="1:6">
      <c r="A3822"/>
      <c r="B3822"/>
      <c r="C3822"/>
      <c r="D3822"/>
      <c r="E3822"/>
      <c r="F3822"/>
    </row>
    <row r="3823" spans="1:6">
      <c r="A3823"/>
      <c r="B3823"/>
      <c r="C3823"/>
      <c r="D3823"/>
      <c r="E3823"/>
      <c r="F3823"/>
    </row>
    <row r="3824" spans="1:6">
      <c r="A3824"/>
      <c r="B3824"/>
      <c r="C3824"/>
      <c r="D3824"/>
      <c r="E3824"/>
      <c r="F3824"/>
    </row>
    <row r="3825" spans="1:6">
      <c r="A3825"/>
      <c r="B3825"/>
      <c r="C3825"/>
      <c r="D3825"/>
      <c r="E3825"/>
      <c r="F3825"/>
    </row>
    <row r="3826" spans="1:6">
      <c r="A3826"/>
      <c r="B3826"/>
      <c r="C3826"/>
      <c r="D3826"/>
      <c r="E3826"/>
      <c r="F3826"/>
    </row>
    <row r="3827" spans="1:6">
      <c r="A3827"/>
      <c r="B3827"/>
      <c r="C3827"/>
      <c r="D3827"/>
      <c r="E3827"/>
      <c r="F3827"/>
    </row>
    <row r="3828" spans="1:6">
      <c r="A3828"/>
      <c r="B3828"/>
      <c r="C3828"/>
      <c r="D3828"/>
      <c r="E3828"/>
      <c r="F3828"/>
    </row>
    <row r="3829" spans="1:6">
      <c r="A3829"/>
      <c r="B3829"/>
      <c r="C3829"/>
      <c r="D3829"/>
      <c r="E3829"/>
      <c r="F3829"/>
    </row>
    <row r="3830" spans="1:6">
      <c r="A3830"/>
      <c r="B3830"/>
      <c r="C3830"/>
      <c r="D3830"/>
      <c r="E3830"/>
      <c r="F3830"/>
    </row>
    <row r="3831" spans="1:6">
      <c r="A3831"/>
      <c r="B3831"/>
      <c r="C3831"/>
      <c r="D3831"/>
      <c r="E3831"/>
      <c r="F3831"/>
    </row>
    <row r="3832" spans="1:6">
      <c r="A3832"/>
      <c r="B3832"/>
      <c r="C3832"/>
      <c r="D3832"/>
      <c r="E3832"/>
      <c r="F3832"/>
    </row>
    <row r="3833" spans="1:6">
      <c r="A3833"/>
      <c r="B3833"/>
      <c r="C3833"/>
      <c r="D3833"/>
      <c r="E3833"/>
      <c r="F3833"/>
    </row>
    <row r="3834" spans="1:6">
      <c r="A3834"/>
      <c r="B3834"/>
      <c r="C3834"/>
      <c r="D3834"/>
      <c r="E3834"/>
      <c r="F3834"/>
    </row>
    <row r="3835" spans="1:6">
      <c r="A3835"/>
      <c r="B3835"/>
      <c r="C3835"/>
      <c r="D3835"/>
      <c r="E3835"/>
      <c r="F3835"/>
    </row>
    <row r="3836" spans="1:6">
      <c r="A3836"/>
      <c r="B3836"/>
      <c r="C3836"/>
      <c r="D3836"/>
      <c r="E3836"/>
      <c r="F3836"/>
    </row>
    <row r="3837" spans="1:6">
      <c r="A3837"/>
      <c r="B3837"/>
      <c r="C3837"/>
      <c r="D3837"/>
      <c r="E3837"/>
      <c r="F3837"/>
    </row>
    <row r="3838" spans="1:6">
      <c r="A3838"/>
      <c r="B3838"/>
      <c r="C3838"/>
      <c r="D3838"/>
      <c r="E3838"/>
      <c r="F3838"/>
    </row>
    <row r="3839" spans="1:6">
      <c r="A3839"/>
      <c r="B3839"/>
      <c r="C3839"/>
      <c r="D3839"/>
      <c r="E3839"/>
      <c r="F3839"/>
    </row>
    <row r="3840" spans="1:6">
      <c r="A3840"/>
      <c r="B3840"/>
      <c r="C3840"/>
      <c r="D3840"/>
      <c r="E3840"/>
      <c r="F3840"/>
    </row>
    <row r="3841" spans="1:6">
      <c r="A3841"/>
      <c r="B3841"/>
      <c r="C3841"/>
      <c r="D3841"/>
      <c r="E3841"/>
      <c r="F3841"/>
    </row>
    <row r="3842" spans="1:6">
      <c r="A3842"/>
      <c r="B3842"/>
      <c r="C3842"/>
      <c r="D3842"/>
      <c r="E3842"/>
      <c r="F3842"/>
    </row>
    <row r="3843" spans="1:6">
      <c r="A3843"/>
      <c r="B3843"/>
      <c r="C3843"/>
      <c r="D3843"/>
      <c r="E3843"/>
      <c r="F3843"/>
    </row>
    <row r="3844" spans="1:6">
      <c r="A3844"/>
      <c r="B3844"/>
      <c r="C3844"/>
      <c r="D3844"/>
      <c r="E3844"/>
      <c r="F3844"/>
    </row>
    <row r="3845" spans="1:6">
      <c r="A3845"/>
      <c r="B3845"/>
      <c r="C3845"/>
      <c r="D3845"/>
      <c r="E3845"/>
      <c r="F3845"/>
    </row>
    <row r="3846" spans="1:6">
      <c r="A3846"/>
      <c r="B3846"/>
      <c r="C3846"/>
      <c r="D3846"/>
      <c r="E3846"/>
      <c r="F3846"/>
    </row>
    <row r="3847" spans="1:6">
      <c r="A3847"/>
      <c r="B3847"/>
      <c r="C3847"/>
      <c r="D3847"/>
      <c r="E3847"/>
      <c r="F3847"/>
    </row>
    <row r="3848" spans="1:6">
      <c r="A3848"/>
      <c r="B3848"/>
      <c r="C3848"/>
      <c r="D3848"/>
      <c r="E3848"/>
      <c r="F3848"/>
    </row>
    <row r="3849" spans="1:6">
      <c r="A3849"/>
      <c r="B3849"/>
      <c r="C3849"/>
      <c r="D3849"/>
      <c r="E3849"/>
      <c r="F3849"/>
    </row>
    <row r="3850" spans="1:6">
      <c r="A3850"/>
      <c r="B3850"/>
      <c r="C3850"/>
      <c r="D3850"/>
      <c r="E3850"/>
      <c r="F3850"/>
    </row>
    <row r="3851" spans="1:6">
      <c r="A3851"/>
      <c r="B3851"/>
      <c r="C3851"/>
      <c r="D3851"/>
      <c r="E3851"/>
      <c r="F3851"/>
    </row>
    <row r="3852" spans="1:6">
      <c r="A3852"/>
      <c r="B3852"/>
      <c r="C3852"/>
      <c r="D3852"/>
      <c r="E3852"/>
      <c r="F3852"/>
    </row>
    <row r="3853" spans="1:6">
      <c r="A3853"/>
      <c r="B3853"/>
      <c r="C3853"/>
      <c r="D3853"/>
      <c r="E3853"/>
      <c r="F3853"/>
    </row>
    <row r="3854" spans="1:6">
      <c r="A3854"/>
      <c r="B3854"/>
      <c r="C3854"/>
      <c r="D3854"/>
      <c r="E3854"/>
      <c r="F3854"/>
    </row>
    <row r="3855" spans="1:6">
      <c r="A3855"/>
      <c r="B3855"/>
      <c r="C3855"/>
      <c r="D3855"/>
      <c r="E3855"/>
      <c r="F3855"/>
    </row>
    <row r="3856" spans="1:6">
      <c r="A3856"/>
      <c r="B3856"/>
      <c r="C3856"/>
      <c r="D3856"/>
      <c r="E3856"/>
      <c r="F3856"/>
    </row>
    <row r="3857" spans="1:6">
      <c r="A3857"/>
      <c r="B3857"/>
      <c r="C3857"/>
      <c r="D3857"/>
      <c r="E3857"/>
      <c r="F3857"/>
    </row>
    <row r="3858" spans="1:6">
      <c r="A3858"/>
      <c r="B3858"/>
      <c r="C3858"/>
      <c r="D3858"/>
      <c r="E3858"/>
      <c r="F3858"/>
    </row>
    <row r="3859" spans="1:6">
      <c r="A3859"/>
      <c r="B3859"/>
      <c r="C3859"/>
      <c r="D3859"/>
      <c r="E3859"/>
      <c r="F3859"/>
    </row>
    <row r="3860" spans="1:6">
      <c r="A3860"/>
      <c r="B3860"/>
      <c r="C3860"/>
      <c r="D3860"/>
      <c r="E3860"/>
      <c r="F3860"/>
    </row>
    <row r="3861" spans="1:6">
      <c r="A3861"/>
      <c r="B3861"/>
      <c r="C3861"/>
      <c r="D3861"/>
      <c r="E3861"/>
      <c r="F3861"/>
    </row>
    <row r="3862" spans="1:6">
      <c r="A3862"/>
      <c r="B3862"/>
      <c r="C3862"/>
      <c r="D3862"/>
      <c r="E3862"/>
      <c r="F3862"/>
    </row>
    <row r="3863" spans="1:6">
      <c r="A3863"/>
      <c r="B3863"/>
      <c r="C3863"/>
      <c r="D3863"/>
      <c r="E3863"/>
      <c r="F3863"/>
    </row>
    <row r="3864" spans="1:6">
      <c r="A3864"/>
      <c r="B3864"/>
      <c r="C3864"/>
      <c r="D3864"/>
      <c r="E3864"/>
      <c r="F3864"/>
    </row>
    <row r="3865" spans="1:6">
      <c r="A3865"/>
      <c r="B3865"/>
      <c r="C3865"/>
      <c r="D3865"/>
      <c r="E3865"/>
      <c r="F3865"/>
    </row>
    <row r="3866" spans="1:6">
      <c r="A3866"/>
      <c r="B3866"/>
      <c r="C3866"/>
      <c r="D3866"/>
      <c r="E3866"/>
      <c r="F3866"/>
    </row>
    <row r="3867" spans="1:6">
      <c r="A3867"/>
      <c r="B3867"/>
      <c r="C3867"/>
      <c r="D3867"/>
      <c r="E3867"/>
      <c r="F3867"/>
    </row>
    <row r="3868" spans="1:6">
      <c r="A3868"/>
      <c r="B3868"/>
      <c r="C3868"/>
      <c r="D3868"/>
      <c r="E3868"/>
      <c r="F3868"/>
    </row>
    <row r="3869" spans="1:6">
      <c r="A3869"/>
      <c r="B3869"/>
      <c r="C3869"/>
      <c r="D3869"/>
      <c r="E3869"/>
      <c r="F3869"/>
    </row>
    <row r="3870" spans="1:6">
      <c r="A3870"/>
      <c r="B3870"/>
      <c r="C3870"/>
      <c r="D3870"/>
      <c r="E3870"/>
      <c r="F3870"/>
    </row>
    <row r="3871" spans="1:6">
      <c r="A3871"/>
      <c r="B3871"/>
      <c r="C3871"/>
      <c r="D3871"/>
      <c r="E3871"/>
      <c r="F3871"/>
    </row>
    <row r="3872" spans="1:6">
      <c r="A3872"/>
      <c r="B3872"/>
      <c r="C3872"/>
      <c r="D3872"/>
      <c r="E3872"/>
      <c r="F3872"/>
    </row>
    <row r="3873" spans="1:6">
      <c r="A3873"/>
      <c r="B3873"/>
      <c r="C3873"/>
      <c r="D3873"/>
      <c r="E3873"/>
      <c r="F3873"/>
    </row>
    <row r="3874" spans="1:6">
      <c r="A3874"/>
      <c r="B3874"/>
      <c r="C3874"/>
      <c r="D3874"/>
      <c r="E3874"/>
      <c r="F3874"/>
    </row>
    <row r="3875" spans="1:6">
      <c r="A3875"/>
      <c r="B3875"/>
      <c r="C3875"/>
      <c r="D3875"/>
      <c r="E3875"/>
      <c r="F3875"/>
    </row>
    <row r="3876" spans="1:6">
      <c r="A3876"/>
      <c r="B3876"/>
      <c r="C3876"/>
      <c r="D3876"/>
      <c r="E3876"/>
      <c r="F3876"/>
    </row>
    <row r="3877" spans="1:6">
      <c r="A3877"/>
      <c r="B3877"/>
      <c r="C3877"/>
      <c r="D3877"/>
      <c r="E3877"/>
      <c r="F3877"/>
    </row>
    <row r="3878" spans="1:6">
      <c r="A3878"/>
      <c r="B3878"/>
      <c r="C3878"/>
      <c r="D3878"/>
      <c r="E3878"/>
      <c r="F3878"/>
    </row>
    <row r="3879" spans="1:6">
      <c r="A3879"/>
      <c r="B3879"/>
      <c r="C3879"/>
      <c r="D3879"/>
      <c r="E3879"/>
      <c r="F3879"/>
    </row>
    <row r="3880" spans="1:6">
      <c r="A3880"/>
      <c r="B3880"/>
      <c r="C3880"/>
      <c r="D3880"/>
      <c r="E3880"/>
      <c r="F3880"/>
    </row>
    <row r="3881" spans="1:6">
      <c r="A3881"/>
      <c r="B3881"/>
      <c r="C3881"/>
      <c r="D3881"/>
      <c r="E3881"/>
      <c r="F3881"/>
    </row>
    <row r="3882" spans="1:6">
      <c r="A3882"/>
      <c r="B3882"/>
      <c r="C3882"/>
      <c r="D3882"/>
      <c r="E3882"/>
      <c r="F3882"/>
    </row>
    <row r="3883" spans="1:6">
      <c r="A3883"/>
      <c r="B3883"/>
      <c r="C3883"/>
      <c r="D3883"/>
      <c r="E3883"/>
      <c r="F3883"/>
    </row>
    <row r="3884" spans="1:6">
      <c r="A3884"/>
      <c r="B3884"/>
      <c r="C3884"/>
      <c r="D3884"/>
      <c r="E3884"/>
      <c r="F3884"/>
    </row>
    <row r="3885" spans="1:6">
      <c r="A3885"/>
      <c r="B3885"/>
      <c r="C3885"/>
      <c r="D3885"/>
      <c r="E3885"/>
      <c r="F3885"/>
    </row>
    <row r="3886" spans="1:6">
      <c r="A3886"/>
      <c r="B3886"/>
      <c r="C3886"/>
      <c r="D3886"/>
      <c r="E3886"/>
      <c r="F3886"/>
    </row>
    <row r="3887" spans="1:6">
      <c r="A3887"/>
      <c r="B3887"/>
      <c r="C3887"/>
      <c r="D3887"/>
      <c r="E3887"/>
      <c r="F3887"/>
    </row>
    <row r="3888" spans="1:6">
      <c r="A3888"/>
      <c r="B3888"/>
      <c r="C3888"/>
      <c r="D3888"/>
      <c r="E3888"/>
      <c r="F3888"/>
    </row>
    <row r="3889" spans="1:6">
      <c r="A3889"/>
      <c r="B3889"/>
      <c r="C3889"/>
      <c r="D3889"/>
      <c r="E3889"/>
      <c r="F3889"/>
    </row>
    <row r="3890" spans="1:6">
      <c r="A3890"/>
      <c r="B3890"/>
      <c r="C3890"/>
      <c r="D3890"/>
      <c r="E3890"/>
      <c r="F3890"/>
    </row>
    <row r="3891" spans="1:6">
      <c r="A3891"/>
      <c r="B3891"/>
      <c r="C3891"/>
      <c r="D3891"/>
      <c r="E3891"/>
      <c r="F3891"/>
    </row>
    <row r="3892" spans="1:6">
      <c r="A3892"/>
      <c r="B3892"/>
      <c r="C3892"/>
      <c r="D3892"/>
      <c r="E3892"/>
      <c r="F3892"/>
    </row>
    <row r="3893" spans="1:6">
      <c r="A3893"/>
      <c r="B3893"/>
      <c r="C3893"/>
      <c r="D3893"/>
      <c r="E3893"/>
      <c r="F3893"/>
    </row>
    <row r="3894" spans="1:6">
      <c r="A3894"/>
      <c r="B3894"/>
      <c r="C3894"/>
      <c r="D3894"/>
      <c r="E3894"/>
      <c r="F3894"/>
    </row>
    <row r="3895" spans="1:6">
      <c r="A3895"/>
      <c r="B3895"/>
      <c r="C3895"/>
      <c r="D3895"/>
      <c r="E3895"/>
      <c r="F3895"/>
    </row>
    <row r="3896" spans="1:6">
      <c r="A3896"/>
      <c r="B3896"/>
      <c r="C3896"/>
      <c r="D3896"/>
      <c r="E3896"/>
      <c r="F3896"/>
    </row>
    <row r="3897" spans="1:6">
      <c r="A3897"/>
      <c r="B3897"/>
      <c r="C3897"/>
      <c r="D3897"/>
      <c r="E3897"/>
      <c r="F3897"/>
    </row>
    <row r="3898" spans="1:6">
      <c r="A3898"/>
      <c r="B3898"/>
      <c r="C3898"/>
      <c r="D3898"/>
      <c r="E3898"/>
      <c r="F3898"/>
    </row>
    <row r="3899" spans="1:6">
      <c r="A3899"/>
      <c r="B3899"/>
      <c r="C3899"/>
      <c r="D3899"/>
      <c r="E3899"/>
      <c r="F3899"/>
    </row>
    <row r="3900" spans="1:6">
      <c r="A3900"/>
      <c r="B3900"/>
      <c r="C3900"/>
      <c r="D3900"/>
      <c r="E3900"/>
      <c r="F3900"/>
    </row>
    <row r="3901" spans="1:6">
      <c r="A3901"/>
      <c r="B3901"/>
      <c r="C3901"/>
      <c r="D3901"/>
      <c r="E3901"/>
      <c r="F3901"/>
    </row>
    <row r="3902" spans="1:6">
      <c r="A3902"/>
      <c r="B3902"/>
      <c r="C3902"/>
      <c r="D3902"/>
      <c r="E3902"/>
      <c r="F3902"/>
    </row>
    <row r="3903" spans="1:6">
      <c r="A3903"/>
      <c r="B3903"/>
      <c r="C3903"/>
      <c r="D3903"/>
      <c r="E3903"/>
      <c r="F3903"/>
    </row>
    <row r="3904" spans="1:6">
      <c r="A3904"/>
      <c r="B3904"/>
      <c r="C3904"/>
      <c r="D3904"/>
      <c r="E3904"/>
      <c r="F3904"/>
    </row>
    <row r="3905" spans="1:6">
      <c r="A3905"/>
      <c r="B3905"/>
      <c r="C3905"/>
      <c r="D3905"/>
      <c r="E3905"/>
      <c r="F3905"/>
    </row>
    <row r="3906" spans="1:6">
      <c r="A3906"/>
      <c r="B3906"/>
      <c r="C3906"/>
      <c r="D3906"/>
      <c r="E3906"/>
      <c r="F3906"/>
    </row>
    <row r="3907" spans="1:6">
      <c r="A3907"/>
      <c r="B3907"/>
      <c r="C3907"/>
      <c r="D3907"/>
      <c r="E3907"/>
      <c r="F3907"/>
    </row>
    <row r="3908" spans="1:6">
      <c r="A3908"/>
      <c r="B3908"/>
      <c r="C3908"/>
      <c r="D3908"/>
      <c r="E3908"/>
      <c r="F3908"/>
    </row>
    <row r="3909" spans="1:6">
      <c r="A3909"/>
      <c r="B3909"/>
      <c r="C3909"/>
      <c r="D3909"/>
      <c r="E3909"/>
      <c r="F3909"/>
    </row>
    <row r="3910" spans="1:6">
      <c r="A3910"/>
      <c r="B3910"/>
      <c r="C3910"/>
      <c r="D3910"/>
      <c r="E3910"/>
      <c r="F3910"/>
    </row>
    <row r="3911" spans="1:6">
      <c r="A3911"/>
      <c r="B3911"/>
      <c r="C3911"/>
      <c r="D3911"/>
      <c r="E3911"/>
      <c r="F3911"/>
    </row>
    <row r="3912" spans="1:6">
      <c r="A3912"/>
      <c r="B3912"/>
      <c r="C3912"/>
      <c r="D3912"/>
      <c r="E3912"/>
      <c r="F3912"/>
    </row>
    <row r="3913" spans="1:6">
      <c r="A3913"/>
      <c r="B3913"/>
      <c r="C3913"/>
      <c r="D3913"/>
      <c r="E3913"/>
      <c r="F3913"/>
    </row>
    <row r="3914" spans="1:6">
      <c r="A3914"/>
      <c r="B3914"/>
      <c r="C3914"/>
      <c r="D3914"/>
      <c r="E3914"/>
      <c r="F3914"/>
    </row>
    <row r="3915" spans="1:6">
      <c r="A3915"/>
      <c r="B3915"/>
      <c r="C3915"/>
      <c r="D3915"/>
      <c r="E3915"/>
      <c r="F3915"/>
    </row>
    <row r="3916" spans="1:6">
      <c r="A3916"/>
      <c r="B3916"/>
      <c r="C3916"/>
      <c r="D3916"/>
      <c r="E3916"/>
      <c r="F3916"/>
    </row>
    <row r="3917" spans="1:6">
      <c r="A3917"/>
      <c r="B3917"/>
      <c r="C3917"/>
      <c r="D3917"/>
      <c r="E3917"/>
      <c r="F3917"/>
    </row>
    <row r="3918" spans="1:6">
      <c r="A3918"/>
      <c r="B3918"/>
      <c r="C3918"/>
      <c r="D3918"/>
      <c r="E3918"/>
      <c r="F3918"/>
    </row>
    <row r="3919" spans="1:6">
      <c r="A3919"/>
      <c r="B3919"/>
      <c r="C3919"/>
      <c r="D3919"/>
      <c r="E3919"/>
      <c r="F3919"/>
    </row>
    <row r="3920" spans="1:6">
      <c r="A3920"/>
      <c r="B3920"/>
      <c r="C3920"/>
      <c r="D3920"/>
      <c r="E3920"/>
      <c r="F3920"/>
    </row>
    <row r="3921" spans="1:6">
      <c r="A3921"/>
      <c r="B3921"/>
      <c r="C3921"/>
      <c r="D3921"/>
      <c r="E3921"/>
      <c r="F3921"/>
    </row>
    <row r="3922" spans="1:6">
      <c r="A3922"/>
      <c r="B3922"/>
      <c r="C3922"/>
      <c r="D3922"/>
      <c r="E3922"/>
      <c r="F3922"/>
    </row>
    <row r="3923" spans="1:6">
      <c r="A3923"/>
      <c r="B3923"/>
      <c r="C3923"/>
      <c r="D3923"/>
      <c r="E3923"/>
      <c r="F3923"/>
    </row>
    <row r="3924" spans="1:6">
      <c r="A3924"/>
      <c r="B3924"/>
      <c r="C3924"/>
      <c r="D3924"/>
      <c r="E3924"/>
      <c r="F3924"/>
    </row>
    <row r="3925" spans="1:6">
      <c r="A3925"/>
      <c r="B3925"/>
      <c r="C3925"/>
      <c r="D3925"/>
      <c r="E3925"/>
      <c r="F3925"/>
    </row>
    <row r="3926" spans="1:6">
      <c r="A3926"/>
      <c r="B3926"/>
      <c r="C3926"/>
      <c r="D3926"/>
      <c r="E3926"/>
      <c r="F3926"/>
    </row>
    <row r="3927" spans="1:6">
      <c r="A3927"/>
      <c r="B3927"/>
      <c r="C3927"/>
      <c r="D3927"/>
      <c r="E3927"/>
      <c r="F3927"/>
    </row>
    <row r="3928" spans="1:6">
      <c r="A3928"/>
      <c r="B3928"/>
      <c r="C3928"/>
      <c r="D3928"/>
      <c r="E3928"/>
      <c r="F3928"/>
    </row>
    <row r="3929" spans="1:6">
      <c r="A3929"/>
      <c r="B3929"/>
      <c r="C3929"/>
      <c r="D3929"/>
      <c r="E3929"/>
      <c r="F3929"/>
    </row>
    <row r="3930" spans="1:6">
      <c r="A3930"/>
      <c r="B3930"/>
      <c r="C3930"/>
      <c r="D3930"/>
      <c r="E3930"/>
      <c r="F3930"/>
    </row>
    <row r="3931" spans="1:6">
      <c r="A3931"/>
      <c r="B3931"/>
      <c r="C3931"/>
      <c r="D3931"/>
      <c r="E3931"/>
      <c r="F3931"/>
    </row>
    <row r="3932" spans="1:6">
      <c r="A3932"/>
      <c r="B3932"/>
      <c r="C3932"/>
      <c r="D3932"/>
      <c r="E3932"/>
      <c r="F3932"/>
    </row>
    <row r="3933" spans="1:6">
      <c r="A3933"/>
      <c r="B3933"/>
      <c r="C3933"/>
      <c r="D3933"/>
      <c r="E3933"/>
      <c r="F3933"/>
    </row>
    <row r="3934" spans="1:6">
      <c r="A3934"/>
      <c r="B3934"/>
      <c r="C3934"/>
      <c r="D3934"/>
      <c r="E3934"/>
      <c r="F3934"/>
    </row>
    <row r="3935" spans="1:6">
      <c r="A3935"/>
      <c r="B3935"/>
      <c r="C3935"/>
      <c r="D3935"/>
      <c r="E3935"/>
      <c r="F3935"/>
    </row>
    <row r="3936" spans="1:6">
      <c r="A3936"/>
      <c r="B3936"/>
      <c r="C3936"/>
      <c r="D3936"/>
      <c r="E3936"/>
      <c r="F3936"/>
    </row>
    <row r="3937" spans="1:6">
      <c r="A3937"/>
      <c r="B3937"/>
      <c r="C3937"/>
      <c r="D3937"/>
      <c r="E3937"/>
      <c r="F3937"/>
    </row>
    <row r="3938" spans="1:6">
      <c r="A3938"/>
      <c r="B3938"/>
      <c r="C3938"/>
      <c r="D3938"/>
      <c r="E3938"/>
      <c r="F3938"/>
    </row>
    <row r="3939" spans="1:6">
      <c r="A3939"/>
      <c r="B3939"/>
      <c r="C3939"/>
      <c r="D3939"/>
      <c r="E3939"/>
      <c r="F3939"/>
    </row>
    <row r="3940" spans="1:6">
      <c r="A3940"/>
      <c r="B3940"/>
      <c r="C3940"/>
      <c r="D3940"/>
      <c r="E3940"/>
      <c r="F3940"/>
    </row>
    <row r="3941" spans="1:6">
      <c r="A3941"/>
      <c r="B3941"/>
      <c r="C3941"/>
      <c r="D3941"/>
      <c r="E3941"/>
      <c r="F3941"/>
    </row>
    <row r="3942" spans="1:6">
      <c r="A3942"/>
      <c r="B3942"/>
      <c r="C3942"/>
      <c r="D3942"/>
      <c r="E3942"/>
      <c r="F3942"/>
    </row>
    <row r="3943" spans="1:6">
      <c r="A3943"/>
      <c r="B3943"/>
      <c r="C3943"/>
      <c r="D3943"/>
      <c r="E3943"/>
      <c r="F3943"/>
    </row>
    <row r="3944" spans="1:6">
      <c r="A3944"/>
      <c r="B3944"/>
      <c r="C3944"/>
      <c r="D3944"/>
      <c r="E3944"/>
      <c r="F3944"/>
    </row>
    <row r="3945" spans="1:6">
      <c r="A3945"/>
      <c r="B3945"/>
      <c r="C3945"/>
      <c r="D3945"/>
      <c r="E3945"/>
      <c r="F3945"/>
    </row>
    <row r="3946" spans="1:6">
      <c r="A3946"/>
      <c r="B3946"/>
      <c r="C3946"/>
      <c r="D3946"/>
      <c r="E3946"/>
      <c r="F3946"/>
    </row>
    <row r="3947" spans="1:6">
      <c r="A3947"/>
      <c r="B3947"/>
      <c r="C3947"/>
      <c r="D3947"/>
      <c r="E3947"/>
      <c r="F3947"/>
    </row>
    <row r="3948" spans="1:6">
      <c r="A3948"/>
      <c r="B3948"/>
      <c r="C3948"/>
      <c r="D3948"/>
      <c r="E3948"/>
      <c r="F3948"/>
    </row>
    <row r="3949" spans="1:6">
      <c r="A3949"/>
      <c r="B3949"/>
      <c r="C3949"/>
      <c r="D3949"/>
      <c r="E3949"/>
      <c r="F3949"/>
    </row>
    <row r="3950" spans="1:6">
      <c r="A3950"/>
      <c r="B3950"/>
      <c r="C3950"/>
      <c r="D3950"/>
      <c r="E3950"/>
      <c r="F3950"/>
    </row>
    <row r="3951" spans="1:6">
      <c r="A3951"/>
      <c r="B3951"/>
      <c r="C3951"/>
      <c r="D3951"/>
      <c r="E3951"/>
      <c r="F3951"/>
    </row>
    <row r="3952" spans="1:6">
      <c r="A3952"/>
      <c r="B3952"/>
      <c r="C3952"/>
      <c r="D3952"/>
      <c r="E3952"/>
      <c r="F3952"/>
    </row>
    <row r="3953" spans="1:6">
      <c r="A3953"/>
      <c r="B3953"/>
      <c r="C3953"/>
      <c r="D3953"/>
      <c r="E3953"/>
      <c r="F3953"/>
    </row>
    <row r="3954" spans="1:6">
      <c r="A3954"/>
      <c r="B3954"/>
      <c r="C3954"/>
      <c r="D3954"/>
      <c r="E3954"/>
      <c r="F3954"/>
    </row>
    <row r="3955" spans="1:6">
      <c r="A3955"/>
      <c r="B3955"/>
      <c r="C3955"/>
      <c r="D3955"/>
      <c r="E3955"/>
      <c r="F3955"/>
    </row>
    <row r="3956" spans="1:6">
      <c r="A3956"/>
      <c r="B3956"/>
      <c r="C3956"/>
      <c r="D3956"/>
      <c r="E3956"/>
      <c r="F3956"/>
    </row>
    <row r="3957" spans="1:6">
      <c r="A3957"/>
      <c r="B3957"/>
      <c r="C3957"/>
      <c r="D3957"/>
      <c r="E3957"/>
      <c r="F3957"/>
    </row>
    <row r="3958" spans="1:6">
      <c r="A3958"/>
      <c r="B3958"/>
      <c r="C3958"/>
      <c r="D3958"/>
      <c r="E3958"/>
      <c r="F3958"/>
    </row>
    <row r="3959" spans="1:6">
      <c r="A3959"/>
      <c r="B3959"/>
      <c r="C3959"/>
      <c r="D3959"/>
      <c r="E3959"/>
      <c r="F3959"/>
    </row>
    <row r="3960" spans="1:6">
      <c r="A3960"/>
      <c r="B3960"/>
      <c r="C3960"/>
      <c r="D3960"/>
      <c r="E3960"/>
      <c r="F3960"/>
    </row>
    <row r="3961" spans="1:6">
      <c r="A3961"/>
      <c r="B3961"/>
      <c r="C3961"/>
      <c r="D3961"/>
      <c r="E3961"/>
      <c r="F3961"/>
    </row>
    <row r="3962" spans="1:6">
      <c r="A3962"/>
      <c r="B3962"/>
      <c r="C3962"/>
      <c r="D3962"/>
      <c r="E3962"/>
      <c r="F3962"/>
    </row>
    <row r="3963" spans="1:6">
      <c r="A3963"/>
      <c r="B3963"/>
      <c r="C3963"/>
      <c r="D3963"/>
      <c r="E3963"/>
      <c r="F3963"/>
    </row>
    <row r="3964" spans="1:6">
      <c r="A3964"/>
      <c r="B3964"/>
      <c r="C3964"/>
      <c r="D3964"/>
      <c r="E3964"/>
      <c r="F3964"/>
    </row>
    <row r="3965" spans="1:6">
      <c r="A3965"/>
      <c r="B3965"/>
      <c r="C3965"/>
      <c r="D3965"/>
      <c r="E3965"/>
      <c r="F3965"/>
    </row>
    <row r="3966" spans="1:6">
      <c r="A3966"/>
      <c r="B3966"/>
      <c r="C3966"/>
      <c r="D3966"/>
      <c r="E3966"/>
      <c r="F3966"/>
    </row>
    <row r="3967" spans="1:6">
      <c r="A3967"/>
      <c r="B3967"/>
      <c r="C3967"/>
      <c r="D3967"/>
      <c r="E3967"/>
      <c r="F3967"/>
    </row>
    <row r="3968" spans="1:6">
      <c r="A3968"/>
      <c r="B3968"/>
      <c r="C3968"/>
      <c r="D3968"/>
      <c r="E3968"/>
      <c r="F3968"/>
    </row>
    <row r="3969" spans="1:6">
      <c r="A3969"/>
      <c r="B3969"/>
      <c r="C3969"/>
      <c r="D3969"/>
      <c r="E3969"/>
      <c r="F3969"/>
    </row>
    <row r="3970" spans="1:6">
      <c r="A3970"/>
      <c r="B3970"/>
      <c r="C3970"/>
      <c r="D3970"/>
      <c r="E3970"/>
      <c r="F3970"/>
    </row>
    <row r="3971" spans="1:6">
      <c r="A3971"/>
      <c r="B3971"/>
      <c r="C3971"/>
      <c r="D3971"/>
      <c r="E3971"/>
      <c r="F3971"/>
    </row>
    <row r="3972" spans="1:6">
      <c r="A3972"/>
      <c r="B3972"/>
      <c r="C3972"/>
      <c r="D3972"/>
      <c r="E3972"/>
      <c r="F3972"/>
    </row>
    <row r="3973" spans="1:6">
      <c r="A3973"/>
      <c r="B3973"/>
      <c r="C3973"/>
      <c r="D3973"/>
      <c r="E3973"/>
      <c r="F3973"/>
    </row>
    <row r="3974" spans="1:6">
      <c r="A3974"/>
      <c r="B3974"/>
      <c r="C3974"/>
      <c r="D3974"/>
      <c r="E3974"/>
      <c r="F3974"/>
    </row>
    <row r="3975" spans="1:6">
      <c r="A3975"/>
      <c r="B3975"/>
      <c r="C3975"/>
      <c r="D3975"/>
      <c r="E3975"/>
      <c r="F3975"/>
    </row>
    <row r="3976" spans="1:6">
      <c r="A3976"/>
      <c r="B3976"/>
      <c r="C3976"/>
      <c r="D3976"/>
      <c r="E3976"/>
      <c r="F3976"/>
    </row>
    <row r="3977" spans="1:6">
      <c r="A3977"/>
      <c r="B3977"/>
      <c r="C3977"/>
      <c r="D3977"/>
      <c r="E3977"/>
      <c r="F3977"/>
    </row>
    <row r="3978" spans="1:6">
      <c r="A3978"/>
      <c r="B3978"/>
      <c r="C3978"/>
      <c r="D3978"/>
      <c r="E3978"/>
      <c r="F3978"/>
    </row>
    <row r="3979" spans="1:6">
      <c r="A3979"/>
      <c r="B3979"/>
      <c r="C3979"/>
      <c r="D3979"/>
      <c r="E3979"/>
      <c r="F3979"/>
    </row>
    <row r="3980" spans="1:6">
      <c r="A3980"/>
      <c r="B3980"/>
      <c r="C3980"/>
      <c r="D3980"/>
      <c r="E3980"/>
      <c r="F3980"/>
    </row>
    <row r="3981" spans="1:6">
      <c r="A3981"/>
      <c r="B3981"/>
      <c r="C3981"/>
      <c r="D3981"/>
      <c r="E3981"/>
      <c r="F3981"/>
    </row>
    <row r="3982" spans="1:6">
      <c r="A3982"/>
      <c r="B3982"/>
      <c r="C3982"/>
      <c r="D3982"/>
      <c r="E3982"/>
      <c r="F3982"/>
    </row>
    <row r="3983" spans="1:6">
      <c r="A3983"/>
      <c r="B3983"/>
      <c r="C3983"/>
      <c r="D3983"/>
      <c r="E3983"/>
      <c r="F3983"/>
    </row>
    <row r="3984" spans="1:6">
      <c r="A3984"/>
      <c r="B3984"/>
      <c r="C3984"/>
      <c r="D3984"/>
      <c r="E3984"/>
      <c r="F3984"/>
    </row>
    <row r="3985" spans="1:6">
      <c r="A3985"/>
      <c r="B3985"/>
      <c r="C3985"/>
      <c r="D3985"/>
      <c r="E3985"/>
      <c r="F3985"/>
    </row>
    <row r="3986" spans="1:6">
      <c r="A3986"/>
      <c r="B3986"/>
      <c r="C3986"/>
      <c r="D3986"/>
      <c r="E3986"/>
      <c r="F3986"/>
    </row>
    <row r="3987" spans="1:6">
      <c r="A3987"/>
      <c r="B3987"/>
      <c r="C3987"/>
      <c r="D3987"/>
      <c r="E3987"/>
      <c r="F3987"/>
    </row>
    <row r="3988" spans="1:6">
      <c r="A3988"/>
      <c r="B3988"/>
      <c r="C3988"/>
      <c r="D3988"/>
      <c r="E3988"/>
      <c r="F3988"/>
    </row>
    <row r="3989" spans="1:6">
      <c r="A3989"/>
      <c r="B3989"/>
      <c r="C3989"/>
      <c r="D3989"/>
      <c r="E3989"/>
      <c r="F3989"/>
    </row>
    <row r="3990" spans="1:6">
      <c r="A3990"/>
      <c r="B3990"/>
      <c r="C3990"/>
      <c r="D3990"/>
      <c r="E3990"/>
      <c r="F3990"/>
    </row>
    <row r="3991" spans="1:6">
      <c r="A3991"/>
      <c r="B3991"/>
      <c r="C3991"/>
      <c r="D3991"/>
      <c r="E3991"/>
      <c r="F3991"/>
    </row>
    <row r="3992" spans="1:6">
      <c r="A3992"/>
      <c r="B3992"/>
      <c r="C3992"/>
      <c r="D3992"/>
      <c r="E3992"/>
      <c r="F3992"/>
    </row>
    <row r="3993" spans="1:6">
      <c r="A3993"/>
      <c r="B3993"/>
      <c r="C3993"/>
      <c r="D3993"/>
      <c r="E3993"/>
      <c r="F3993"/>
    </row>
    <row r="3994" spans="1:6">
      <c r="A3994"/>
      <c r="B3994"/>
      <c r="C3994"/>
      <c r="D3994"/>
      <c r="E3994"/>
      <c r="F3994"/>
    </row>
    <row r="3995" spans="1:6">
      <c r="A3995"/>
      <c r="B3995"/>
      <c r="C3995"/>
      <c r="D3995"/>
      <c r="E3995"/>
      <c r="F3995"/>
    </row>
    <row r="3996" spans="1:6">
      <c r="A3996"/>
      <c r="B3996"/>
      <c r="C3996"/>
      <c r="D3996"/>
      <c r="E3996"/>
      <c r="F3996"/>
    </row>
    <row r="3997" spans="1:6">
      <c r="A3997"/>
      <c r="B3997"/>
      <c r="C3997"/>
      <c r="D3997"/>
      <c r="E3997"/>
      <c r="F3997"/>
    </row>
    <row r="3998" spans="1:6">
      <c r="A3998"/>
      <c r="B3998"/>
      <c r="C3998"/>
      <c r="D3998"/>
      <c r="E3998"/>
      <c r="F3998"/>
    </row>
    <row r="3999" spans="1:6">
      <c r="A3999"/>
      <c r="B3999"/>
      <c r="C3999"/>
      <c r="D3999"/>
      <c r="E3999"/>
      <c r="F3999"/>
    </row>
    <row r="4000" spans="1:6">
      <c r="A4000"/>
      <c r="B4000"/>
      <c r="C4000"/>
      <c r="D4000"/>
      <c r="E4000"/>
      <c r="F4000"/>
    </row>
    <row r="4001" spans="1:6">
      <c r="A4001"/>
      <c r="B4001"/>
      <c r="C4001"/>
      <c r="D4001"/>
      <c r="E4001"/>
      <c r="F4001"/>
    </row>
    <row r="4002" spans="1:6">
      <c r="A4002"/>
      <c r="B4002"/>
      <c r="C4002"/>
      <c r="D4002"/>
      <c r="E4002"/>
      <c r="F4002"/>
    </row>
    <row r="4003" spans="1:6">
      <c r="A4003"/>
      <c r="B4003"/>
      <c r="C4003"/>
      <c r="D4003"/>
      <c r="E4003"/>
      <c r="F4003"/>
    </row>
    <row r="4004" spans="1:6">
      <c r="A4004"/>
      <c r="B4004"/>
      <c r="C4004"/>
      <c r="D4004"/>
      <c r="E4004"/>
      <c r="F4004"/>
    </row>
    <row r="4005" spans="1:6">
      <c r="A4005"/>
      <c r="B4005"/>
      <c r="C4005"/>
      <c r="D4005"/>
      <c r="E4005"/>
      <c r="F4005"/>
    </row>
    <row r="4006" spans="1:6">
      <c r="A4006"/>
      <c r="B4006"/>
      <c r="C4006"/>
      <c r="D4006"/>
      <c r="E4006"/>
      <c r="F4006"/>
    </row>
    <row r="4007" spans="1:6">
      <c r="A4007"/>
      <c r="B4007"/>
      <c r="C4007"/>
      <c r="D4007"/>
      <c r="E4007"/>
      <c r="F4007"/>
    </row>
    <row r="4008" spans="1:6">
      <c r="A4008"/>
      <c r="B4008"/>
      <c r="C4008"/>
      <c r="D4008"/>
      <c r="E4008"/>
      <c r="F4008"/>
    </row>
    <row r="4009" spans="1:6">
      <c r="A4009"/>
      <c r="B4009"/>
      <c r="C4009"/>
      <c r="D4009"/>
      <c r="E4009"/>
      <c r="F4009"/>
    </row>
    <row r="4010" spans="1:6">
      <c r="A4010"/>
      <c r="B4010"/>
      <c r="C4010"/>
      <c r="D4010"/>
      <c r="E4010"/>
      <c r="F4010"/>
    </row>
    <row r="4011" spans="1:6">
      <c r="A4011"/>
      <c r="B4011"/>
      <c r="C4011"/>
      <c r="D4011"/>
      <c r="E4011"/>
      <c r="F4011"/>
    </row>
    <row r="4012" spans="1:6">
      <c r="A4012"/>
      <c r="B4012"/>
      <c r="C4012"/>
      <c r="D4012"/>
      <c r="E4012"/>
      <c r="F4012"/>
    </row>
    <row r="4013" spans="1:6">
      <c r="A4013"/>
      <c r="B4013"/>
      <c r="C4013"/>
      <c r="D4013"/>
      <c r="E4013"/>
      <c r="F4013"/>
    </row>
    <row r="4014" spans="1:6">
      <c r="A4014"/>
      <c r="B4014"/>
      <c r="C4014"/>
      <c r="D4014"/>
      <c r="E4014"/>
      <c r="F4014"/>
    </row>
    <row r="4015" spans="1:6">
      <c r="A4015"/>
      <c r="B4015"/>
      <c r="C4015"/>
      <c r="D4015"/>
      <c r="E4015"/>
      <c r="F4015"/>
    </row>
    <row r="4016" spans="1:6">
      <c r="A4016"/>
      <c r="B4016"/>
      <c r="C4016"/>
      <c r="D4016"/>
      <c r="E4016"/>
      <c r="F4016"/>
    </row>
    <row r="4017" spans="1:6">
      <c r="A4017"/>
      <c r="B4017"/>
      <c r="C4017"/>
      <c r="D4017"/>
      <c r="E4017"/>
      <c r="F4017"/>
    </row>
    <row r="4018" spans="1:6">
      <c r="A4018"/>
      <c r="B4018"/>
      <c r="C4018"/>
      <c r="D4018"/>
      <c r="E4018"/>
      <c r="F4018"/>
    </row>
    <row r="4019" spans="1:6">
      <c r="A4019"/>
      <c r="B4019"/>
      <c r="C4019"/>
      <c r="D4019"/>
      <c r="E4019"/>
      <c r="F4019"/>
    </row>
    <row r="4020" spans="1:6">
      <c r="A4020"/>
      <c r="B4020"/>
      <c r="C4020"/>
      <c r="D4020"/>
      <c r="E4020"/>
      <c r="F4020"/>
    </row>
    <row r="4021" spans="1:6">
      <c r="A4021"/>
      <c r="B4021"/>
      <c r="C4021"/>
      <c r="D4021"/>
      <c r="E4021"/>
      <c r="F4021"/>
    </row>
    <row r="4022" spans="1:6">
      <c r="A4022"/>
      <c r="B4022"/>
      <c r="C4022"/>
      <c r="D4022"/>
      <c r="E4022"/>
      <c r="F4022"/>
    </row>
    <row r="4023" spans="1:6">
      <c r="A4023"/>
      <c r="B4023"/>
      <c r="C4023"/>
      <c r="D4023"/>
      <c r="E4023"/>
      <c r="F4023"/>
    </row>
    <row r="4024" spans="1:6">
      <c r="A4024"/>
      <c r="B4024"/>
      <c r="C4024"/>
      <c r="D4024"/>
      <c r="E4024"/>
      <c r="F4024"/>
    </row>
    <row r="4025" spans="1:6">
      <c r="A4025"/>
      <c r="B4025"/>
      <c r="C4025"/>
      <c r="D4025"/>
      <c r="E4025"/>
      <c r="F4025"/>
    </row>
    <row r="4026" spans="1:6">
      <c r="A4026"/>
      <c r="B4026"/>
      <c r="C4026"/>
      <c r="D4026"/>
      <c r="E4026"/>
      <c r="F4026"/>
    </row>
    <row r="4027" spans="1:6">
      <c r="A4027"/>
      <c r="B4027"/>
      <c r="C4027"/>
      <c r="D4027"/>
      <c r="E4027"/>
      <c r="F4027"/>
    </row>
    <row r="4028" spans="1:6">
      <c r="A4028"/>
      <c r="B4028"/>
      <c r="C4028"/>
      <c r="D4028"/>
      <c r="E4028"/>
      <c r="F4028"/>
    </row>
    <row r="4029" spans="1:6">
      <c r="A4029"/>
      <c r="B4029"/>
      <c r="C4029"/>
      <c r="D4029"/>
      <c r="E4029"/>
      <c r="F4029"/>
    </row>
    <row r="4030" spans="1:6">
      <c r="A4030"/>
      <c r="B4030"/>
      <c r="C4030"/>
      <c r="D4030"/>
      <c r="E4030"/>
      <c r="F4030"/>
    </row>
    <row r="4031" spans="1:6">
      <c r="A4031"/>
      <c r="B4031"/>
      <c r="C4031"/>
      <c r="D4031"/>
      <c r="E4031"/>
      <c r="F4031"/>
    </row>
    <row r="4032" spans="1:6">
      <c r="A4032"/>
      <c r="B4032"/>
      <c r="C4032"/>
      <c r="D4032"/>
      <c r="E4032"/>
      <c r="F4032"/>
    </row>
    <row r="4033" spans="1:6">
      <c r="A4033"/>
      <c r="B4033"/>
      <c r="C4033"/>
      <c r="D4033"/>
      <c r="E4033"/>
      <c r="F4033"/>
    </row>
    <row r="4034" spans="1:6">
      <c r="A4034"/>
      <c r="B4034"/>
      <c r="C4034"/>
      <c r="D4034"/>
      <c r="E4034"/>
      <c r="F4034"/>
    </row>
    <row r="4035" spans="1:6">
      <c r="A4035"/>
      <c r="B4035"/>
      <c r="C4035"/>
      <c r="D4035"/>
      <c r="E4035"/>
      <c r="F4035"/>
    </row>
    <row r="4036" spans="1:6">
      <c r="A4036"/>
      <c r="B4036"/>
      <c r="C4036"/>
      <c r="D4036"/>
      <c r="E4036"/>
      <c r="F4036"/>
    </row>
    <row r="4037" spans="1:6">
      <c r="A4037"/>
      <c r="B4037"/>
      <c r="C4037"/>
      <c r="D4037"/>
      <c r="E4037"/>
      <c r="F4037"/>
    </row>
    <row r="4038" spans="1:6">
      <c r="A4038"/>
      <c r="B4038"/>
      <c r="C4038"/>
      <c r="D4038"/>
      <c r="E4038"/>
      <c r="F4038"/>
    </row>
    <row r="4039" spans="1:6">
      <c r="A4039"/>
      <c r="B4039"/>
      <c r="C4039"/>
      <c r="D4039"/>
      <c r="E4039"/>
      <c r="F4039"/>
    </row>
    <row r="4040" spans="1:6">
      <c r="A4040"/>
      <c r="B4040"/>
      <c r="C4040"/>
      <c r="D4040"/>
      <c r="E4040"/>
      <c r="F4040"/>
    </row>
    <row r="4041" spans="1:6">
      <c r="A4041"/>
      <c r="B4041"/>
      <c r="C4041"/>
      <c r="D4041"/>
      <c r="E4041"/>
      <c r="F4041"/>
    </row>
    <row r="4042" spans="1:6">
      <c r="A4042"/>
      <c r="B4042"/>
      <c r="C4042"/>
      <c r="D4042"/>
      <c r="E4042"/>
      <c r="F4042"/>
    </row>
    <row r="4043" spans="1:6">
      <c r="A4043"/>
      <c r="B4043"/>
      <c r="C4043"/>
      <c r="D4043"/>
      <c r="E4043"/>
      <c r="F4043"/>
    </row>
    <row r="4044" spans="1:6">
      <c r="A4044"/>
      <c r="B4044"/>
      <c r="C4044"/>
      <c r="D4044"/>
      <c r="E4044"/>
      <c r="F4044"/>
    </row>
    <row r="4045" spans="1:6">
      <c r="A4045"/>
      <c r="B4045"/>
      <c r="C4045"/>
      <c r="D4045"/>
      <c r="E4045"/>
      <c r="F4045"/>
    </row>
    <row r="4046" spans="1:6">
      <c r="A4046"/>
      <c r="B4046"/>
      <c r="C4046"/>
      <c r="D4046"/>
      <c r="E4046"/>
      <c r="F4046"/>
    </row>
    <row r="4047" spans="1:6">
      <c r="A4047"/>
      <c r="B4047"/>
      <c r="C4047"/>
      <c r="D4047"/>
      <c r="E4047"/>
      <c r="F4047"/>
    </row>
    <row r="4048" spans="1:6">
      <c r="A4048"/>
      <c r="B4048"/>
      <c r="C4048"/>
      <c r="D4048"/>
      <c r="E4048"/>
      <c r="F4048"/>
    </row>
    <row r="4049" spans="1:6">
      <c r="A4049"/>
      <c r="B4049"/>
      <c r="C4049"/>
      <c r="D4049"/>
      <c r="E4049"/>
      <c r="F4049"/>
    </row>
    <row r="4050" spans="1:6">
      <c r="A4050"/>
      <c r="B4050"/>
      <c r="C4050"/>
      <c r="D4050"/>
      <c r="E4050"/>
      <c r="F4050"/>
    </row>
    <row r="4051" spans="1:6">
      <c r="A4051"/>
      <c r="B4051"/>
      <c r="C4051"/>
      <c r="D4051"/>
      <c r="E4051"/>
      <c r="F4051"/>
    </row>
    <row r="4052" spans="1:6">
      <c r="A4052"/>
      <c r="B4052"/>
      <c r="C4052"/>
      <c r="D4052"/>
      <c r="E4052"/>
      <c r="F4052"/>
    </row>
    <row r="4053" spans="1:6">
      <c r="A4053"/>
      <c r="B4053"/>
      <c r="C4053"/>
      <c r="D4053"/>
      <c r="E4053"/>
      <c r="F4053"/>
    </row>
    <row r="4054" spans="1:6">
      <c r="A4054"/>
      <c r="B4054"/>
      <c r="C4054"/>
      <c r="D4054"/>
      <c r="E4054"/>
      <c r="F4054"/>
    </row>
    <row r="4055" spans="1:6">
      <c r="A4055"/>
      <c r="B4055"/>
      <c r="C4055"/>
      <c r="D4055"/>
      <c r="E4055"/>
      <c r="F4055"/>
    </row>
    <row r="4056" spans="1:6">
      <c r="A4056"/>
      <c r="B4056"/>
      <c r="C4056"/>
      <c r="D4056"/>
      <c r="E4056"/>
      <c r="F4056"/>
    </row>
    <row r="4057" spans="1:6">
      <c r="A4057"/>
      <c r="B4057"/>
      <c r="C4057"/>
      <c r="D4057"/>
      <c r="E4057"/>
      <c r="F4057"/>
    </row>
    <row r="4058" spans="1:6">
      <c r="A4058"/>
      <c r="B4058"/>
      <c r="C4058"/>
      <c r="D4058"/>
      <c r="E4058"/>
      <c r="F4058"/>
    </row>
    <row r="4059" spans="1:6">
      <c r="A4059"/>
      <c r="B4059"/>
      <c r="C4059"/>
      <c r="D4059"/>
      <c r="E4059"/>
      <c r="F4059"/>
    </row>
    <row r="4060" spans="1:6">
      <c r="A4060"/>
      <c r="B4060"/>
      <c r="C4060"/>
      <c r="D4060"/>
      <c r="E4060"/>
      <c r="F4060"/>
    </row>
    <row r="4061" spans="1:6">
      <c r="A4061"/>
      <c r="B4061"/>
      <c r="C4061"/>
      <c r="D4061"/>
      <c r="E4061"/>
      <c r="F4061"/>
    </row>
    <row r="4062" spans="1:6">
      <c r="A4062"/>
      <c r="B4062"/>
      <c r="C4062"/>
      <c r="D4062"/>
      <c r="E4062"/>
      <c r="F4062"/>
    </row>
    <row r="4063" spans="1:6">
      <c r="A4063"/>
      <c r="B4063"/>
      <c r="C4063"/>
      <c r="D4063"/>
      <c r="E4063"/>
      <c r="F4063"/>
    </row>
    <row r="4064" spans="1:6">
      <c r="A4064"/>
      <c r="B4064"/>
      <c r="C4064"/>
      <c r="D4064"/>
      <c r="E4064"/>
      <c r="F4064"/>
    </row>
    <row r="4065" spans="1:6">
      <c r="A4065"/>
      <c r="B4065"/>
      <c r="C4065"/>
      <c r="D4065"/>
      <c r="E4065"/>
      <c r="F4065"/>
    </row>
    <row r="4066" spans="1:6">
      <c r="A4066"/>
      <c r="B4066"/>
      <c r="C4066"/>
      <c r="D4066"/>
      <c r="E4066"/>
      <c r="F4066"/>
    </row>
    <row r="4067" spans="1:6">
      <c r="A4067"/>
      <c r="B4067"/>
      <c r="C4067"/>
      <c r="D4067"/>
      <c r="E4067"/>
      <c r="F4067"/>
    </row>
    <row r="4068" spans="1:6">
      <c r="A4068"/>
      <c r="B4068"/>
      <c r="C4068"/>
      <c r="D4068"/>
      <c r="E4068"/>
      <c r="F4068"/>
    </row>
    <row r="4069" spans="1:6">
      <c r="A4069"/>
      <c r="B4069"/>
      <c r="C4069"/>
      <c r="D4069"/>
      <c r="E4069"/>
      <c r="F4069"/>
    </row>
    <row r="4070" spans="1:6">
      <c r="A4070"/>
      <c r="B4070"/>
      <c r="C4070"/>
      <c r="D4070"/>
      <c r="E4070"/>
      <c r="F4070"/>
    </row>
    <row r="4071" spans="1:6">
      <c r="A4071"/>
      <c r="B4071"/>
      <c r="C4071"/>
      <c r="D4071"/>
      <c r="E4071"/>
      <c r="F4071"/>
    </row>
    <row r="4072" spans="1:6">
      <c r="A4072"/>
      <c r="B4072"/>
      <c r="C4072"/>
      <c r="D4072"/>
      <c r="E4072"/>
      <c r="F4072"/>
    </row>
    <row r="4073" spans="1:6">
      <c r="A4073"/>
      <c r="B4073"/>
      <c r="C4073"/>
      <c r="D4073"/>
      <c r="E4073"/>
      <c r="F4073"/>
    </row>
    <row r="4074" spans="1:6">
      <c r="A4074"/>
      <c r="B4074"/>
      <c r="C4074"/>
      <c r="D4074"/>
      <c r="E4074"/>
      <c r="F4074"/>
    </row>
    <row r="4075" spans="1:6">
      <c r="A4075"/>
      <c r="B4075"/>
      <c r="C4075"/>
      <c r="D4075"/>
      <c r="E4075"/>
      <c r="F4075"/>
    </row>
    <row r="4076" spans="1:6">
      <c r="A4076"/>
      <c r="B4076"/>
      <c r="C4076"/>
      <c r="D4076"/>
      <c r="E4076"/>
      <c r="F4076"/>
    </row>
    <row r="4077" spans="1:6">
      <c r="A4077"/>
      <c r="B4077"/>
      <c r="C4077"/>
      <c r="D4077"/>
      <c r="E4077"/>
      <c r="F4077"/>
    </row>
    <row r="4078" spans="1:6">
      <c r="A4078"/>
      <c r="B4078"/>
      <c r="C4078"/>
      <c r="D4078"/>
      <c r="E4078"/>
      <c r="F4078"/>
    </row>
    <row r="4079" spans="1:6">
      <c r="A4079"/>
      <c r="B4079"/>
      <c r="C4079"/>
      <c r="D4079"/>
      <c r="E4079"/>
      <c r="F4079"/>
    </row>
    <row r="4080" spans="1:6">
      <c r="A4080"/>
      <c r="B4080"/>
      <c r="C4080"/>
      <c r="D4080"/>
      <c r="E4080"/>
      <c r="F4080"/>
    </row>
    <row r="4081" spans="1:6">
      <c r="A4081"/>
      <c r="B4081"/>
      <c r="C4081"/>
      <c r="D4081"/>
      <c r="E4081"/>
      <c r="F4081"/>
    </row>
    <row r="4082" spans="1:6">
      <c r="A4082"/>
      <c r="B4082"/>
      <c r="C4082"/>
      <c r="D4082"/>
      <c r="E4082"/>
      <c r="F4082"/>
    </row>
    <row r="4083" spans="1:6">
      <c r="A4083"/>
      <c r="B4083"/>
      <c r="C4083"/>
      <c r="D4083"/>
      <c r="E4083"/>
      <c r="F4083"/>
    </row>
    <row r="4084" spans="1:6">
      <c r="A4084"/>
      <c r="B4084"/>
      <c r="C4084"/>
      <c r="D4084"/>
      <c r="E4084"/>
      <c r="F4084"/>
    </row>
    <row r="4085" spans="1:6">
      <c r="A4085"/>
      <c r="B4085"/>
      <c r="C4085"/>
      <c r="D4085"/>
      <c r="E4085"/>
      <c r="F4085"/>
    </row>
    <row r="4086" spans="1:6">
      <c r="A4086"/>
      <c r="B4086"/>
      <c r="C4086"/>
      <c r="D4086"/>
      <c r="E4086"/>
      <c r="F4086"/>
    </row>
    <row r="4087" spans="1:6">
      <c r="A4087"/>
      <c r="B4087"/>
      <c r="C4087"/>
      <c r="D4087"/>
      <c r="E4087"/>
      <c r="F4087"/>
    </row>
    <row r="4088" spans="1:6">
      <c r="A4088"/>
      <c r="B4088"/>
      <c r="C4088"/>
      <c r="D4088"/>
      <c r="E4088"/>
      <c r="F4088"/>
    </row>
    <row r="4089" spans="1:6">
      <c r="A4089"/>
      <c r="B4089"/>
      <c r="C4089"/>
      <c r="D4089"/>
      <c r="E4089"/>
      <c r="F4089"/>
    </row>
    <row r="4090" spans="1:6">
      <c r="A4090"/>
      <c r="B4090"/>
      <c r="C4090"/>
      <c r="D4090"/>
      <c r="E4090"/>
      <c r="F4090"/>
    </row>
    <row r="4091" spans="1:6">
      <c r="A4091"/>
      <c r="B4091"/>
      <c r="C4091"/>
      <c r="D4091"/>
      <c r="E4091"/>
      <c r="F4091"/>
    </row>
    <row r="4092" spans="1:6">
      <c r="A4092"/>
      <c r="B4092"/>
      <c r="C4092"/>
      <c r="D4092"/>
      <c r="E4092"/>
      <c r="F4092"/>
    </row>
    <row r="4093" spans="1:6">
      <c r="A4093"/>
      <c r="B4093"/>
      <c r="C4093"/>
      <c r="D4093"/>
      <c r="E4093"/>
      <c r="F4093"/>
    </row>
    <row r="4094" spans="1:6">
      <c r="A4094"/>
      <c r="B4094"/>
      <c r="C4094"/>
      <c r="D4094"/>
      <c r="E4094"/>
      <c r="F4094"/>
    </row>
    <row r="4095" spans="1:6">
      <c r="A4095"/>
      <c r="B4095"/>
      <c r="C4095"/>
      <c r="D4095"/>
      <c r="E4095"/>
      <c r="F4095"/>
    </row>
    <row r="4096" spans="1:6">
      <c r="A4096"/>
      <c r="B4096"/>
      <c r="C4096"/>
      <c r="D4096"/>
      <c r="E4096"/>
      <c r="F4096"/>
    </row>
    <row r="4097" spans="1:6">
      <c r="A4097"/>
      <c r="B4097"/>
      <c r="C4097"/>
      <c r="D4097"/>
      <c r="E4097"/>
      <c r="F4097"/>
    </row>
    <row r="4098" spans="1:6">
      <c r="A4098"/>
      <c r="B4098"/>
      <c r="C4098"/>
      <c r="D4098"/>
      <c r="E4098"/>
      <c r="F4098"/>
    </row>
    <row r="4099" spans="1:6">
      <c r="A4099"/>
      <c r="B4099"/>
      <c r="C4099"/>
      <c r="D4099"/>
      <c r="E4099"/>
      <c r="F4099"/>
    </row>
    <row r="4100" spans="1:6">
      <c r="A4100"/>
      <c r="B4100"/>
      <c r="C4100"/>
      <c r="D4100"/>
      <c r="E4100"/>
      <c r="F4100"/>
    </row>
    <row r="4101" spans="1:6">
      <c r="A4101"/>
      <c r="B4101"/>
      <c r="C4101"/>
      <c r="D4101"/>
      <c r="E4101"/>
      <c r="F4101"/>
    </row>
    <row r="4102" spans="1:6">
      <c r="A4102"/>
      <c r="B4102"/>
      <c r="C4102"/>
      <c r="D4102"/>
      <c r="E4102"/>
      <c r="F4102"/>
    </row>
    <row r="4103" spans="1:6">
      <c r="A4103"/>
      <c r="B4103"/>
      <c r="C4103"/>
      <c r="D4103"/>
      <c r="E4103"/>
      <c r="F4103"/>
    </row>
    <row r="4104" spans="1:6">
      <c r="A4104"/>
      <c r="B4104"/>
      <c r="C4104"/>
      <c r="D4104"/>
      <c r="E4104"/>
      <c r="F4104"/>
    </row>
    <row r="4105" spans="1:6">
      <c r="A4105"/>
      <c r="B4105"/>
      <c r="C4105"/>
      <c r="D4105"/>
      <c r="E4105"/>
      <c r="F4105"/>
    </row>
    <row r="4106" spans="1:6">
      <c r="A4106"/>
      <c r="B4106"/>
      <c r="C4106"/>
      <c r="D4106"/>
      <c r="E4106"/>
      <c r="F4106"/>
    </row>
    <row r="4107" spans="1:6">
      <c r="A4107"/>
      <c r="B4107"/>
      <c r="C4107"/>
      <c r="D4107"/>
      <c r="E4107"/>
      <c r="F4107"/>
    </row>
    <row r="4108" spans="1:6">
      <c r="A4108"/>
      <c r="B4108"/>
      <c r="C4108"/>
      <c r="D4108"/>
      <c r="E4108"/>
      <c r="F4108"/>
    </row>
    <row r="4109" spans="1:6">
      <c r="A4109"/>
      <c r="B4109"/>
      <c r="C4109"/>
      <c r="D4109"/>
      <c r="E4109"/>
      <c r="F4109"/>
    </row>
    <row r="4110" spans="1:6">
      <c r="A4110"/>
      <c r="B4110"/>
      <c r="C4110"/>
      <c r="D4110"/>
      <c r="E4110"/>
      <c r="F4110"/>
    </row>
    <row r="4111" spans="1:6">
      <c r="A4111"/>
      <c r="B4111"/>
      <c r="C4111"/>
      <c r="D4111"/>
      <c r="E4111"/>
      <c r="F4111"/>
    </row>
    <row r="4112" spans="1:6">
      <c r="A4112"/>
      <c r="B4112"/>
      <c r="C4112"/>
      <c r="D4112"/>
      <c r="E4112"/>
      <c r="F4112"/>
    </row>
    <row r="4113" spans="1:6">
      <c r="A4113"/>
      <c r="B4113"/>
      <c r="C4113"/>
      <c r="D4113"/>
      <c r="E4113"/>
      <c r="F4113"/>
    </row>
    <row r="4114" spans="1:6">
      <c r="A4114"/>
      <c r="B4114"/>
      <c r="C4114"/>
      <c r="D4114"/>
      <c r="E4114"/>
      <c r="F4114"/>
    </row>
    <row r="4115" spans="1:6">
      <c r="A4115"/>
      <c r="B4115"/>
      <c r="C4115"/>
      <c r="D4115"/>
      <c r="E4115"/>
      <c r="F4115"/>
    </row>
    <row r="4116" spans="1:6">
      <c r="A4116"/>
      <c r="B4116"/>
      <c r="C4116"/>
      <c r="D4116"/>
      <c r="E4116"/>
      <c r="F4116"/>
    </row>
    <row r="4117" spans="1:6">
      <c r="A4117"/>
      <c r="B4117"/>
      <c r="C4117"/>
      <c r="D4117"/>
      <c r="E4117"/>
      <c r="F4117"/>
    </row>
    <row r="4118" spans="1:6">
      <c r="A4118"/>
      <c r="B4118"/>
      <c r="C4118"/>
      <c r="D4118"/>
      <c r="E4118"/>
      <c r="F4118"/>
    </row>
    <row r="4119" spans="1:6">
      <c r="A4119"/>
      <c r="B4119"/>
      <c r="C4119"/>
      <c r="D4119"/>
      <c r="E4119"/>
      <c r="F4119"/>
    </row>
    <row r="4120" spans="1:6">
      <c r="A4120"/>
      <c r="B4120"/>
      <c r="C4120"/>
      <c r="D4120"/>
      <c r="E4120"/>
      <c r="F4120"/>
    </row>
    <row r="4121" spans="1:6">
      <c r="A4121"/>
      <c r="B4121"/>
      <c r="C4121"/>
      <c r="D4121"/>
      <c r="E4121"/>
      <c r="F4121"/>
    </row>
    <row r="4122" spans="1:6">
      <c r="A4122"/>
      <c r="B4122"/>
      <c r="C4122"/>
      <c r="D4122"/>
      <c r="E4122"/>
      <c r="F4122"/>
    </row>
    <row r="4123" spans="1:6">
      <c r="A4123"/>
      <c r="B4123"/>
      <c r="C4123"/>
      <c r="D4123"/>
      <c r="E4123"/>
      <c r="F4123"/>
    </row>
    <row r="4124" spans="1:6">
      <c r="A4124"/>
      <c r="B4124"/>
      <c r="C4124"/>
      <c r="D4124"/>
      <c r="E4124"/>
      <c r="F4124"/>
    </row>
    <row r="4125" spans="1:6">
      <c r="A4125"/>
      <c r="B4125"/>
      <c r="C4125"/>
      <c r="D4125"/>
      <c r="E4125"/>
      <c r="F4125"/>
    </row>
    <row r="4126" spans="1:6">
      <c r="A4126"/>
      <c r="B4126"/>
      <c r="C4126"/>
      <c r="D4126"/>
      <c r="E4126"/>
      <c r="F4126"/>
    </row>
    <row r="4127" spans="1:6">
      <c r="A4127"/>
      <c r="B4127"/>
      <c r="C4127"/>
      <c r="D4127"/>
      <c r="E4127"/>
      <c r="F4127"/>
    </row>
    <row r="4128" spans="1:6">
      <c r="A4128"/>
      <c r="B4128"/>
      <c r="C4128"/>
      <c r="D4128"/>
      <c r="E4128"/>
      <c r="F4128"/>
    </row>
    <row r="4129" spans="1:6">
      <c r="A4129"/>
      <c r="B4129"/>
      <c r="C4129"/>
      <c r="D4129"/>
      <c r="E4129"/>
      <c r="F4129"/>
    </row>
    <row r="4130" spans="1:6">
      <c r="A4130"/>
      <c r="B4130"/>
      <c r="C4130"/>
      <c r="D4130"/>
      <c r="E4130"/>
      <c r="F4130"/>
    </row>
    <row r="4131" spans="1:6">
      <c r="A4131"/>
      <c r="B4131"/>
      <c r="C4131"/>
      <c r="D4131"/>
      <c r="E4131"/>
      <c r="F4131"/>
    </row>
    <row r="4132" spans="1:6">
      <c r="A4132"/>
      <c r="B4132"/>
      <c r="C4132"/>
      <c r="D4132"/>
      <c r="E4132"/>
      <c r="F4132"/>
    </row>
    <row r="4133" spans="1:6">
      <c r="A4133"/>
      <c r="B4133"/>
      <c r="C4133"/>
      <c r="D4133"/>
      <c r="E4133"/>
      <c r="F4133"/>
    </row>
    <row r="4134" spans="1:6">
      <c r="A4134"/>
      <c r="B4134"/>
      <c r="C4134"/>
      <c r="D4134"/>
      <c r="E4134"/>
      <c r="F4134"/>
    </row>
    <row r="4135" spans="1:6">
      <c r="A4135"/>
      <c r="B4135"/>
      <c r="C4135"/>
      <c r="D4135"/>
      <c r="E4135"/>
      <c r="F4135"/>
    </row>
    <row r="4136" spans="1:6">
      <c r="A4136"/>
      <c r="B4136"/>
      <c r="C4136"/>
      <c r="D4136"/>
      <c r="E4136"/>
      <c r="F4136"/>
    </row>
    <row r="4137" spans="1:6">
      <c r="A4137"/>
      <c r="B4137"/>
      <c r="C4137"/>
      <c r="D4137"/>
      <c r="E4137"/>
      <c r="F4137"/>
    </row>
    <row r="4138" spans="1:6">
      <c r="A4138"/>
      <c r="B4138"/>
      <c r="C4138"/>
      <c r="D4138"/>
      <c r="E4138"/>
      <c r="F4138"/>
    </row>
    <row r="4139" spans="1:6">
      <c r="A4139"/>
      <c r="B4139"/>
      <c r="C4139"/>
      <c r="D4139"/>
      <c r="E4139"/>
      <c r="F4139"/>
    </row>
    <row r="4140" spans="1:6">
      <c r="A4140"/>
      <c r="B4140"/>
      <c r="C4140"/>
      <c r="D4140"/>
      <c r="E4140"/>
      <c r="F4140"/>
    </row>
    <row r="4141" spans="1:6">
      <c r="A4141"/>
      <c r="B4141"/>
      <c r="C4141"/>
      <c r="D4141"/>
      <c r="E4141"/>
      <c r="F4141"/>
    </row>
    <row r="4142" spans="1:6">
      <c r="A4142"/>
      <c r="B4142"/>
      <c r="C4142"/>
      <c r="D4142"/>
      <c r="E4142"/>
      <c r="F4142"/>
    </row>
    <row r="4143" spans="1:6">
      <c r="A4143"/>
      <c r="B4143"/>
      <c r="C4143"/>
      <c r="D4143"/>
      <c r="E4143"/>
      <c r="F4143"/>
    </row>
    <row r="4144" spans="1:6">
      <c r="A4144"/>
      <c r="B4144"/>
      <c r="C4144"/>
      <c r="D4144"/>
      <c r="E4144"/>
      <c r="F4144"/>
    </row>
    <row r="4145" spans="1:6">
      <c r="A4145"/>
      <c r="B4145"/>
      <c r="C4145"/>
      <c r="D4145"/>
      <c r="E4145"/>
      <c r="F4145"/>
    </row>
    <row r="4146" spans="1:6">
      <c r="A4146"/>
      <c r="B4146"/>
      <c r="C4146"/>
      <c r="D4146"/>
      <c r="E4146"/>
      <c r="F4146"/>
    </row>
    <row r="4147" spans="1:6">
      <c r="A4147"/>
      <c r="B4147"/>
      <c r="C4147"/>
      <c r="D4147"/>
      <c r="E4147"/>
      <c r="F4147"/>
    </row>
    <row r="4148" spans="1:6">
      <c r="A4148"/>
      <c r="B4148"/>
      <c r="C4148"/>
      <c r="D4148"/>
      <c r="E4148"/>
      <c r="F4148"/>
    </row>
    <row r="4149" spans="1:6">
      <c r="A4149"/>
      <c r="B4149"/>
      <c r="C4149"/>
      <c r="D4149"/>
      <c r="E4149"/>
      <c r="F4149"/>
    </row>
    <row r="4150" spans="1:6">
      <c r="A4150"/>
      <c r="B4150"/>
      <c r="C4150"/>
      <c r="D4150"/>
      <c r="E4150"/>
      <c r="F4150"/>
    </row>
    <row r="4151" spans="1:6">
      <c r="A4151"/>
      <c r="B4151"/>
      <c r="C4151"/>
      <c r="D4151"/>
      <c r="E4151"/>
      <c r="F4151"/>
    </row>
    <row r="4152" spans="1:6">
      <c r="A4152"/>
      <c r="B4152"/>
      <c r="C4152"/>
      <c r="D4152"/>
      <c r="E4152"/>
      <c r="F4152"/>
    </row>
    <row r="4153" spans="1:6">
      <c r="A4153"/>
      <c r="B4153"/>
      <c r="C4153"/>
      <c r="D4153"/>
      <c r="E4153"/>
      <c r="F4153"/>
    </row>
    <row r="4154" spans="1:6">
      <c r="A4154"/>
      <c r="B4154"/>
      <c r="C4154"/>
      <c r="D4154"/>
      <c r="E4154"/>
      <c r="F4154"/>
    </row>
    <row r="4155" spans="1:6">
      <c r="A4155"/>
      <c r="B4155"/>
      <c r="C4155"/>
      <c r="D4155"/>
      <c r="E4155"/>
      <c r="F4155"/>
    </row>
    <row r="4156" spans="1:6">
      <c r="A4156"/>
      <c r="B4156"/>
      <c r="C4156"/>
      <c r="D4156"/>
      <c r="E4156"/>
      <c r="F4156"/>
    </row>
    <row r="4157" spans="1:6">
      <c r="A4157"/>
      <c r="B4157"/>
      <c r="C4157"/>
      <c r="D4157"/>
      <c r="E4157"/>
      <c r="F4157"/>
    </row>
    <row r="4158" spans="1:6">
      <c r="A4158"/>
      <c r="B4158"/>
      <c r="C4158"/>
      <c r="D4158"/>
      <c r="E4158"/>
      <c r="F4158"/>
    </row>
    <row r="4159" spans="1:6">
      <c r="A4159"/>
      <c r="B4159"/>
      <c r="C4159"/>
      <c r="D4159"/>
      <c r="E4159"/>
      <c r="F4159"/>
    </row>
    <row r="4160" spans="1:6">
      <c r="A4160"/>
      <c r="B4160"/>
      <c r="C4160"/>
      <c r="D4160"/>
      <c r="E4160"/>
      <c r="F4160"/>
    </row>
    <row r="4161" spans="1:6">
      <c r="A4161"/>
      <c r="B4161"/>
      <c r="C4161"/>
      <c r="D4161"/>
      <c r="E4161"/>
      <c r="F4161"/>
    </row>
    <row r="4162" spans="1:6">
      <c r="A4162"/>
      <c r="B4162"/>
      <c r="C4162"/>
      <c r="D4162"/>
      <c r="E4162"/>
      <c r="F4162"/>
    </row>
    <row r="4163" spans="1:6">
      <c r="A4163"/>
      <c r="B4163"/>
      <c r="C4163"/>
      <c r="D4163"/>
      <c r="E4163"/>
      <c r="F4163"/>
    </row>
    <row r="4164" spans="1:6">
      <c r="A4164"/>
      <c r="B4164"/>
      <c r="C4164"/>
      <c r="D4164"/>
      <c r="E4164"/>
      <c r="F4164"/>
    </row>
    <row r="4165" spans="1:6">
      <c r="A4165"/>
      <c r="B4165"/>
      <c r="C4165"/>
      <c r="D4165"/>
      <c r="E4165"/>
      <c r="F4165"/>
    </row>
    <row r="4166" spans="1:6">
      <c r="A4166"/>
      <c r="B4166"/>
      <c r="C4166"/>
      <c r="D4166"/>
      <c r="E4166"/>
      <c r="F4166"/>
    </row>
    <row r="4167" spans="1:6">
      <c r="A4167"/>
      <c r="B4167"/>
      <c r="C4167"/>
      <c r="D4167"/>
      <c r="E4167"/>
      <c r="F4167"/>
    </row>
    <row r="4168" spans="1:6">
      <c r="A4168"/>
      <c r="B4168"/>
      <c r="C4168"/>
      <c r="D4168"/>
      <c r="E4168"/>
      <c r="F4168"/>
    </row>
    <row r="4169" spans="1:6">
      <c r="A4169"/>
      <c r="B4169"/>
      <c r="C4169"/>
      <c r="D4169"/>
      <c r="E4169"/>
      <c r="F4169"/>
    </row>
    <row r="4170" spans="1:6">
      <c r="A4170"/>
      <c r="B4170"/>
      <c r="C4170"/>
      <c r="D4170"/>
      <c r="E4170"/>
      <c r="F4170"/>
    </row>
    <row r="4171" spans="1:6">
      <c r="A4171"/>
      <c r="B4171"/>
      <c r="C4171"/>
      <c r="D4171"/>
      <c r="E4171"/>
      <c r="F4171"/>
    </row>
    <row r="4172" spans="1:6">
      <c r="A4172"/>
      <c r="B4172"/>
      <c r="C4172"/>
      <c r="D4172"/>
      <c r="E4172"/>
      <c r="F4172"/>
    </row>
    <row r="4173" spans="1:6">
      <c r="A4173"/>
      <c r="B4173"/>
      <c r="C4173"/>
      <c r="D4173"/>
      <c r="E4173"/>
      <c r="F4173"/>
    </row>
    <row r="4174" spans="1:6">
      <c r="A4174"/>
      <c r="B4174"/>
      <c r="C4174"/>
      <c r="D4174"/>
      <c r="E4174"/>
      <c r="F4174"/>
    </row>
    <row r="4175" spans="1:6">
      <c r="A4175"/>
      <c r="B4175"/>
      <c r="C4175"/>
      <c r="D4175"/>
      <c r="E4175"/>
      <c r="F4175"/>
    </row>
    <row r="4176" spans="1:6">
      <c r="A4176"/>
      <c r="B4176"/>
      <c r="C4176"/>
      <c r="D4176"/>
      <c r="E4176"/>
      <c r="F4176"/>
    </row>
    <row r="4177" spans="1:6">
      <c r="A4177"/>
      <c r="B4177"/>
      <c r="C4177"/>
      <c r="D4177"/>
      <c r="E4177"/>
      <c r="F4177"/>
    </row>
    <row r="4178" spans="1:6">
      <c r="A4178"/>
      <c r="B4178"/>
      <c r="C4178"/>
      <c r="D4178"/>
      <c r="E4178"/>
      <c r="F4178"/>
    </row>
    <row r="4179" spans="1:6">
      <c r="A4179"/>
      <c r="B4179"/>
      <c r="C4179"/>
      <c r="D4179"/>
      <c r="E4179"/>
      <c r="F4179"/>
    </row>
    <row r="4180" spans="1:6">
      <c r="A4180"/>
      <c r="B4180"/>
      <c r="C4180"/>
      <c r="D4180"/>
      <c r="E4180"/>
      <c r="F4180"/>
    </row>
    <row r="4181" spans="1:6">
      <c r="A4181"/>
      <c r="B4181"/>
      <c r="C4181"/>
      <c r="D4181"/>
      <c r="E4181"/>
      <c r="F4181"/>
    </row>
    <row r="4182" spans="1:6">
      <c r="A4182"/>
      <c r="B4182"/>
      <c r="C4182"/>
      <c r="D4182"/>
      <c r="E4182"/>
      <c r="F4182"/>
    </row>
    <row r="4183" spans="1:6">
      <c r="A4183"/>
      <c r="B4183"/>
      <c r="C4183"/>
      <c r="D4183"/>
      <c r="E4183"/>
      <c r="F4183"/>
    </row>
    <row r="4184" spans="1:6">
      <c r="A4184"/>
      <c r="B4184"/>
      <c r="C4184"/>
      <c r="D4184"/>
      <c r="E4184"/>
      <c r="F4184"/>
    </row>
    <row r="4185" spans="1:6">
      <c r="A4185"/>
      <c r="B4185"/>
      <c r="C4185"/>
      <c r="D4185"/>
      <c r="E4185"/>
      <c r="F4185"/>
    </row>
    <row r="4186" spans="1:6">
      <c r="A4186"/>
      <c r="B4186"/>
      <c r="C4186"/>
      <c r="D4186"/>
      <c r="E4186"/>
      <c r="F4186"/>
    </row>
    <row r="4187" spans="1:6">
      <c r="A4187"/>
      <c r="B4187"/>
      <c r="C4187"/>
      <c r="D4187"/>
      <c r="E4187"/>
      <c r="F4187"/>
    </row>
    <row r="4188" spans="1:6">
      <c r="A4188"/>
      <c r="B4188"/>
      <c r="C4188"/>
      <c r="D4188"/>
      <c r="E4188"/>
      <c r="F4188"/>
    </row>
    <row r="4189" spans="1:6">
      <c r="A4189"/>
      <c r="B4189"/>
      <c r="C4189"/>
      <c r="D4189"/>
      <c r="E4189"/>
      <c r="F4189"/>
    </row>
    <row r="4190" spans="1:6">
      <c r="A4190"/>
      <c r="B4190"/>
      <c r="C4190"/>
      <c r="D4190"/>
      <c r="E4190"/>
      <c r="F4190"/>
    </row>
    <row r="4191" spans="1:6">
      <c r="A4191"/>
      <c r="B4191"/>
      <c r="C4191"/>
      <c r="D4191"/>
      <c r="E4191"/>
      <c r="F4191"/>
    </row>
    <row r="4192" spans="1:6">
      <c r="A4192"/>
      <c r="B4192"/>
      <c r="C4192"/>
      <c r="D4192"/>
      <c r="E4192"/>
      <c r="F4192"/>
    </row>
    <row r="4193" spans="1:6">
      <c r="A4193"/>
      <c r="B4193"/>
      <c r="C4193"/>
      <c r="D4193"/>
      <c r="E4193"/>
      <c r="F4193"/>
    </row>
    <row r="4194" spans="1:6">
      <c r="A4194"/>
      <c r="B4194"/>
      <c r="C4194"/>
      <c r="D4194"/>
      <c r="E4194"/>
      <c r="F4194"/>
    </row>
    <row r="4195" spans="1:6">
      <c r="A4195"/>
      <c r="B4195"/>
      <c r="C4195"/>
      <c r="D4195"/>
      <c r="E4195"/>
      <c r="F4195"/>
    </row>
    <row r="4196" spans="1:6">
      <c r="A4196"/>
      <c r="B4196"/>
      <c r="C4196"/>
      <c r="D4196"/>
      <c r="E4196"/>
      <c r="F4196"/>
    </row>
    <row r="4197" spans="1:6">
      <c r="A4197"/>
      <c r="B4197"/>
      <c r="C4197"/>
      <c r="D4197"/>
      <c r="E4197"/>
      <c r="F4197"/>
    </row>
    <row r="4198" spans="1:6">
      <c r="A4198"/>
      <c r="B4198"/>
      <c r="C4198"/>
      <c r="D4198"/>
      <c r="E4198"/>
      <c r="F4198"/>
    </row>
    <row r="4199" spans="1:6">
      <c r="A4199"/>
      <c r="B4199"/>
      <c r="C4199"/>
      <c r="D4199"/>
      <c r="E4199"/>
      <c r="F4199"/>
    </row>
    <row r="4200" spans="1:6">
      <c r="A4200"/>
      <c r="B4200"/>
      <c r="C4200"/>
      <c r="D4200"/>
      <c r="E4200"/>
      <c r="F4200"/>
    </row>
    <row r="4201" spans="1:6">
      <c r="A4201"/>
      <c r="B4201"/>
      <c r="C4201"/>
      <c r="D4201"/>
      <c r="E4201"/>
      <c r="F4201"/>
    </row>
    <row r="4202" spans="1:6">
      <c r="A4202"/>
      <c r="B4202"/>
      <c r="C4202"/>
      <c r="D4202"/>
      <c r="E4202"/>
      <c r="F4202"/>
    </row>
    <row r="4203" spans="1:6">
      <c r="A4203"/>
      <c r="B4203"/>
      <c r="C4203"/>
      <c r="D4203"/>
      <c r="E4203"/>
      <c r="F4203"/>
    </row>
    <row r="4204" spans="1:6">
      <c r="A4204"/>
      <c r="B4204"/>
      <c r="C4204"/>
      <c r="D4204"/>
      <c r="E4204"/>
      <c r="F4204"/>
    </row>
    <row r="4205" spans="1:6">
      <c r="A4205"/>
      <c r="B4205"/>
      <c r="C4205"/>
      <c r="D4205"/>
      <c r="E4205"/>
      <c r="F4205"/>
    </row>
    <row r="4206" spans="1:6">
      <c r="A4206"/>
      <c r="B4206"/>
      <c r="C4206"/>
      <c r="D4206"/>
      <c r="E4206"/>
      <c r="F4206"/>
    </row>
    <row r="4207" spans="1:6">
      <c r="A4207"/>
      <c r="B4207"/>
      <c r="C4207"/>
      <c r="D4207"/>
      <c r="E4207"/>
      <c r="F4207"/>
    </row>
    <row r="4208" spans="1:6">
      <c r="A4208"/>
      <c r="B4208"/>
      <c r="C4208"/>
      <c r="D4208"/>
      <c r="E4208"/>
      <c r="F4208"/>
    </row>
    <row r="4209" spans="1:6">
      <c r="A4209"/>
      <c r="B4209"/>
      <c r="C4209"/>
      <c r="D4209"/>
      <c r="E4209"/>
      <c r="F4209"/>
    </row>
    <row r="4210" spans="1:6">
      <c r="A4210"/>
      <c r="B4210"/>
      <c r="C4210"/>
      <c r="D4210"/>
      <c r="E4210"/>
      <c r="F4210"/>
    </row>
    <row r="4211" spans="1:6">
      <c r="A4211"/>
      <c r="B4211"/>
      <c r="C4211"/>
      <c r="D4211"/>
      <c r="E4211"/>
      <c r="F4211"/>
    </row>
    <row r="4212" spans="1:6">
      <c r="A4212"/>
      <c r="B4212"/>
      <c r="C4212"/>
      <c r="D4212"/>
      <c r="E4212"/>
      <c r="F4212"/>
    </row>
    <row r="4213" spans="1:6">
      <c r="A4213"/>
      <c r="B4213"/>
      <c r="C4213"/>
      <c r="D4213"/>
      <c r="E4213"/>
      <c r="F4213"/>
    </row>
    <row r="4214" spans="1:6">
      <c r="A4214"/>
      <c r="B4214"/>
      <c r="C4214"/>
      <c r="D4214"/>
      <c r="E4214"/>
      <c r="F4214"/>
    </row>
    <row r="4215" spans="1:6">
      <c r="A4215"/>
      <c r="B4215"/>
      <c r="C4215"/>
      <c r="D4215"/>
      <c r="E4215"/>
      <c r="F4215"/>
    </row>
    <row r="4216" spans="1:6">
      <c r="A4216"/>
      <c r="B4216"/>
      <c r="C4216"/>
      <c r="D4216"/>
      <c r="E4216"/>
      <c r="F4216"/>
    </row>
    <row r="4217" spans="1:6">
      <c r="A4217"/>
      <c r="B4217"/>
      <c r="C4217"/>
      <c r="D4217"/>
      <c r="E4217"/>
      <c r="F4217"/>
    </row>
    <row r="4218" spans="1:6">
      <c r="A4218"/>
      <c r="B4218"/>
      <c r="C4218"/>
      <c r="D4218"/>
      <c r="E4218"/>
      <c r="F4218"/>
    </row>
    <row r="4219" spans="1:6">
      <c r="A4219"/>
      <c r="B4219"/>
      <c r="C4219"/>
      <c r="D4219"/>
      <c r="E4219"/>
      <c r="F4219"/>
    </row>
    <row r="4220" spans="1:6">
      <c r="A4220"/>
      <c r="B4220"/>
      <c r="C4220"/>
      <c r="D4220"/>
      <c r="E4220"/>
      <c r="F4220"/>
    </row>
    <row r="4221" spans="1:6">
      <c r="A4221"/>
      <c r="B4221"/>
      <c r="C4221"/>
      <c r="D4221"/>
      <c r="E4221"/>
      <c r="F4221"/>
    </row>
    <row r="4222" spans="1:6">
      <c r="A4222"/>
      <c r="B4222"/>
      <c r="C4222"/>
      <c r="D4222"/>
      <c r="E4222"/>
      <c r="F4222"/>
    </row>
    <row r="4223" spans="1:6">
      <c r="A4223"/>
      <c r="B4223"/>
      <c r="C4223"/>
      <c r="D4223"/>
      <c r="E4223"/>
      <c r="F4223"/>
    </row>
    <row r="4224" spans="1:6">
      <c r="A4224"/>
      <c r="B4224"/>
      <c r="C4224"/>
      <c r="D4224"/>
      <c r="E4224"/>
      <c r="F4224"/>
    </row>
    <row r="4225" spans="1:6">
      <c r="A4225"/>
      <c r="B4225"/>
      <c r="C4225"/>
      <c r="D4225"/>
      <c r="E4225"/>
      <c r="F4225"/>
    </row>
    <row r="4226" spans="1:6">
      <c r="A4226"/>
      <c r="B4226"/>
      <c r="C4226"/>
      <c r="D4226"/>
      <c r="E4226"/>
      <c r="F4226"/>
    </row>
    <row r="4227" spans="1:6">
      <c r="A4227"/>
      <c r="B4227"/>
      <c r="C4227"/>
      <c r="D4227"/>
      <c r="E4227"/>
      <c r="F4227"/>
    </row>
    <row r="4228" spans="1:6">
      <c r="A4228"/>
      <c r="B4228"/>
      <c r="C4228"/>
      <c r="D4228"/>
      <c r="E4228"/>
      <c r="F4228"/>
    </row>
    <row r="4229" spans="1:6">
      <c r="A4229"/>
      <c r="B4229"/>
      <c r="C4229"/>
      <c r="D4229"/>
      <c r="E4229"/>
      <c r="F4229"/>
    </row>
    <row r="4230" spans="1:6">
      <c r="A4230"/>
      <c r="B4230"/>
      <c r="C4230"/>
      <c r="D4230"/>
      <c r="E4230"/>
      <c r="F4230"/>
    </row>
    <row r="4231" spans="1:6">
      <c r="A4231"/>
      <c r="B4231"/>
      <c r="C4231"/>
      <c r="D4231"/>
      <c r="E4231"/>
      <c r="F4231"/>
    </row>
    <row r="4232" spans="1:6">
      <c r="A4232"/>
      <c r="B4232"/>
      <c r="C4232"/>
      <c r="D4232"/>
      <c r="E4232"/>
      <c r="F4232"/>
    </row>
    <row r="4233" spans="1:6">
      <c r="A4233"/>
      <c r="B4233"/>
      <c r="C4233"/>
      <c r="D4233"/>
      <c r="E4233"/>
      <c r="F4233"/>
    </row>
    <row r="4234" spans="1:6">
      <c r="A4234"/>
      <c r="B4234"/>
      <c r="C4234"/>
      <c r="D4234"/>
      <c r="E4234"/>
      <c r="F4234"/>
    </row>
    <row r="4235" spans="1:6">
      <c r="A4235"/>
      <c r="B4235"/>
      <c r="C4235"/>
      <c r="D4235"/>
      <c r="E4235"/>
      <c r="F4235"/>
    </row>
    <row r="4236" spans="1:6">
      <c r="A4236"/>
      <c r="B4236"/>
      <c r="C4236"/>
      <c r="D4236"/>
      <c r="E4236"/>
      <c r="F4236"/>
    </row>
    <row r="4237" spans="1:6">
      <c r="A4237"/>
      <c r="B4237"/>
      <c r="C4237"/>
      <c r="D4237"/>
      <c r="E4237"/>
      <c r="F4237"/>
    </row>
    <row r="4238" spans="1:6">
      <c r="A4238"/>
      <c r="B4238"/>
      <c r="C4238"/>
      <c r="D4238"/>
      <c r="E4238"/>
      <c r="F4238"/>
    </row>
    <row r="4239" spans="1:6">
      <c r="A4239"/>
      <c r="B4239"/>
      <c r="C4239"/>
      <c r="D4239"/>
      <c r="E4239"/>
      <c r="F4239"/>
    </row>
    <row r="4240" spans="1:6">
      <c r="A4240"/>
      <c r="B4240"/>
      <c r="C4240"/>
      <c r="D4240"/>
      <c r="E4240"/>
      <c r="F4240"/>
    </row>
    <row r="4241" spans="1:6">
      <c r="A4241"/>
      <c r="B4241"/>
      <c r="C4241"/>
      <c r="D4241"/>
      <c r="E4241"/>
      <c r="F4241"/>
    </row>
    <row r="4242" spans="1:6">
      <c r="A4242"/>
      <c r="B4242"/>
      <c r="C4242"/>
      <c r="D4242"/>
      <c r="E4242"/>
      <c r="F4242"/>
    </row>
    <row r="4243" spans="1:6">
      <c r="A4243"/>
      <c r="B4243"/>
      <c r="C4243"/>
      <c r="D4243"/>
      <c r="E4243"/>
      <c r="F4243"/>
    </row>
    <row r="4244" spans="1:6">
      <c r="A4244"/>
      <c r="B4244"/>
      <c r="C4244"/>
      <c r="D4244"/>
      <c r="E4244"/>
      <c r="F4244"/>
    </row>
    <row r="4245" spans="1:6">
      <c r="A4245"/>
      <c r="B4245"/>
      <c r="C4245"/>
      <c r="D4245"/>
      <c r="E4245"/>
      <c r="F4245"/>
    </row>
    <row r="4246" spans="1:6">
      <c r="A4246"/>
      <c r="B4246"/>
      <c r="C4246"/>
      <c r="D4246"/>
      <c r="E4246"/>
      <c r="F4246"/>
    </row>
    <row r="4247" spans="1:6">
      <c r="A4247"/>
      <c r="B4247"/>
      <c r="C4247"/>
      <c r="D4247"/>
      <c r="E4247"/>
      <c r="F4247"/>
    </row>
    <row r="4248" spans="1:6">
      <c r="A4248"/>
      <c r="B4248"/>
      <c r="C4248"/>
      <c r="D4248"/>
      <c r="E4248"/>
      <c r="F4248"/>
    </row>
    <row r="4249" spans="1:6">
      <c r="A4249"/>
      <c r="B4249"/>
      <c r="C4249"/>
      <c r="D4249"/>
      <c r="E4249"/>
      <c r="F4249"/>
    </row>
    <row r="4250" spans="1:6">
      <c r="A4250"/>
      <c r="B4250"/>
      <c r="C4250"/>
      <c r="D4250"/>
      <c r="E4250"/>
      <c r="F4250"/>
    </row>
    <row r="4251" spans="1:6">
      <c r="A4251"/>
      <c r="B4251"/>
      <c r="C4251"/>
      <c r="D4251"/>
      <c r="E4251"/>
      <c r="F4251"/>
    </row>
    <row r="4252" spans="1:6">
      <c r="A4252"/>
      <c r="B4252"/>
      <c r="C4252"/>
      <c r="D4252"/>
      <c r="E4252"/>
      <c r="F4252"/>
    </row>
    <row r="4253" spans="1:6">
      <c r="A4253"/>
      <c r="B4253"/>
      <c r="C4253"/>
      <c r="D4253"/>
      <c r="E4253"/>
      <c r="F4253"/>
    </row>
    <row r="4254" spans="1:6">
      <c r="A4254"/>
      <c r="B4254"/>
      <c r="C4254"/>
      <c r="D4254"/>
      <c r="E4254"/>
      <c r="F4254"/>
    </row>
    <row r="4255" spans="1:6">
      <c r="A4255"/>
      <c r="B4255"/>
      <c r="C4255"/>
      <c r="D4255"/>
      <c r="E4255"/>
      <c r="F4255"/>
    </row>
    <row r="4256" spans="1:6">
      <c r="A4256"/>
      <c r="B4256"/>
      <c r="C4256"/>
      <c r="D4256"/>
      <c r="E4256"/>
      <c r="F4256"/>
    </row>
    <row r="4257" spans="1:6">
      <c r="A4257"/>
      <c r="B4257"/>
      <c r="C4257"/>
      <c r="D4257"/>
      <c r="E4257"/>
      <c r="F4257"/>
    </row>
    <row r="4258" spans="1:6">
      <c r="A4258"/>
      <c r="B4258"/>
      <c r="C4258"/>
      <c r="D4258"/>
      <c r="E4258"/>
      <c r="F4258"/>
    </row>
    <row r="4259" spans="1:6">
      <c r="A4259"/>
      <c r="B4259"/>
      <c r="C4259"/>
      <c r="D4259"/>
      <c r="E4259"/>
      <c r="F4259"/>
    </row>
    <row r="4260" spans="1:6">
      <c r="A4260"/>
      <c r="B4260"/>
      <c r="C4260"/>
      <c r="D4260"/>
      <c r="E4260"/>
      <c r="F4260"/>
    </row>
    <row r="4261" spans="1:6">
      <c r="A4261"/>
      <c r="B4261"/>
      <c r="C4261"/>
      <c r="D4261"/>
      <c r="E4261"/>
      <c r="F4261"/>
    </row>
    <row r="4262" spans="1:6">
      <c r="A4262"/>
      <c r="B4262"/>
      <c r="C4262"/>
      <c r="D4262"/>
      <c r="E4262"/>
      <c r="F4262"/>
    </row>
    <row r="4263" spans="1:6">
      <c r="A4263"/>
      <c r="B4263"/>
      <c r="C4263"/>
      <c r="D4263"/>
      <c r="E4263"/>
      <c r="F4263"/>
    </row>
    <row r="4264" spans="1:6">
      <c r="A4264"/>
      <c r="B4264"/>
      <c r="C4264"/>
      <c r="D4264"/>
      <c r="E4264"/>
      <c r="F4264"/>
    </row>
    <row r="4265" spans="1:6">
      <c r="A4265"/>
      <c r="B4265"/>
      <c r="C4265"/>
      <c r="D4265"/>
      <c r="E4265"/>
      <c r="F4265"/>
    </row>
    <row r="4266" spans="1:6">
      <c r="A4266"/>
      <c r="B4266"/>
      <c r="C4266"/>
      <c r="D4266"/>
      <c r="E4266"/>
      <c r="F4266"/>
    </row>
    <row r="4267" spans="1:6">
      <c r="A4267"/>
      <c r="B4267"/>
      <c r="C4267"/>
      <c r="D4267"/>
      <c r="E4267"/>
      <c r="F4267"/>
    </row>
    <row r="4268" spans="1:6">
      <c r="A4268"/>
      <c r="B4268"/>
      <c r="C4268"/>
      <c r="D4268"/>
      <c r="E4268"/>
      <c r="F4268"/>
    </row>
    <row r="4269" spans="1:6">
      <c r="A4269"/>
      <c r="B4269"/>
      <c r="C4269"/>
      <c r="D4269"/>
      <c r="E4269"/>
      <c r="F4269"/>
    </row>
    <row r="4270" spans="1:6">
      <c r="A4270"/>
      <c r="B4270"/>
      <c r="C4270"/>
      <c r="D4270"/>
      <c r="E4270"/>
      <c r="F4270"/>
    </row>
    <row r="4271" spans="1:6">
      <c r="A4271"/>
      <c r="B4271"/>
      <c r="C4271"/>
      <c r="D4271"/>
      <c r="E4271"/>
      <c r="F4271"/>
    </row>
    <row r="4272" spans="1:6">
      <c r="A4272"/>
      <c r="B4272"/>
      <c r="C4272"/>
      <c r="D4272"/>
      <c r="E4272"/>
      <c r="F4272"/>
    </row>
    <row r="4273" spans="1:6">
      <c r="A4273"/>
      <c r="B4273"/>
      <c r="C4273"/>
      <c r="D4273"/>
      <c r="E4273"/>
      <c r="F4273"/>
    </row>
    <row r="4274" spans="1:6">
      <c r="A4274"/>
      <c r="B4274"/>
      <c r="C4274"/>
      <c r="D4274"/>
      <c r="E4274"/>
      <c r="F4274"/>
    </row>
    <row r="4275" spans="1:6">
      <c r="A4275"/>
      <c r="B4275"/>
      <c r="C4275"/>
      <c r="D4275"/>
      <c r="E4275"/>
      <c r="F4275"/>
    </row>
    <row r="4276" spans="1:6">
      <c r="A4276"/>
      <c r="B4276"/>
      <c r="C4276"/>
      <c r="D4276"/>
      <c r="E4276"/>
      <c r="F4276"/>
    </row>
    <row r="4277" spans="1:6">
      <c r="A4277"/>
      <c r="B4277"/>
      <c r="C4277"/>
      <c r="D4277"/>
      <c r="E4277"/>
      <c r="F4277"/>
    </row>
    <row r="4278" spans="1:6">
      <c r="A4278"/>
      <c r="B4278"/>
      <c r="C4278"/>
      <c r="D4278"/>
      <c r="E4278"/>
      <c r="F4278"/>
    </row>
    <row r="4279" spans="1:6">
      <c r="A4279"/>
      <c r="B4279"/>
      <c r="C4279"/>
      <c r="D4279"/>
      <c r="E4279"/>
      <c r="F4279"/>
    </row>
    <row r="4280" spans="1:6">
      <c r="A4280"/>
      <c r="B4280"/>
      <c r="C4280"/>
      <c r="D4280"/>
      <c r="E4280"/>
      <c r="F4280"/>
    </row>
    <row r="4281" spans="1:6">
      <c r="A4281"/>
      <c r="B4281"/>
      <c r="C4281"/>
      <c r="D4281"/>
      <c r="E4281"/>
      <c r="F4281"/>
    </row>
    <row r="4282" spans="1:6">
      <c r="A4282"/>
      <c r="B4282"/>
      <c r="C4282"/>
      <c r="D4282"/>
      <c r="E4282"/>
      <c r="F4282"/>
    </row>
    <row r="4283" spans="1:6">
      <c r="A4283"/>
      <c r="B4283"/>
      <c r="C4283"/>
      <c r="D4283"/>
      <c r="E4283"/>
      <c r="F4283"/>
    </row>
    <row r="4284" spans="1:6">
      <c r="A4284"/>
      <c r="B4284"/>
      <c r="C4284"/>
      <c r="D4284"/>
      <c r="E4284"/>
      <c r="F4284"/>
    </row>
    <row r="4285" spans="1:6">
      <c r="A4285"/>
      <c r="B4285"/>
      <c r="C4285"/>
      <c r="D4285"/>
      <c r="E4285"/>
      <c r="F4285"/>
    </row>
    <row r="4286" spans="1:6">
      <c r="A4286"/>
      <c r="B4286"/>
      <c r="C4286"/>
      <c r="D4286"/>
      <c r="E4286"/>
      <c r="F4286"/>
    </row>
    <row r="4287" spans="1:6">
      <c r="A4287"/>
      <c r="B4287"/>
      <c r="C4287"/>
      <c r="D4287"/>
      <c r="E4287"/>
      <c r="F4287"/>
    </row>
    <row r="4288" spans="1:6">
      <c r="A4288"/>
      <c r="B4288"/>
      <c r="C4288"/>
      <c r="D4288"/>
      <c r="E4288"/>
      <c r="F4288"/>
    </row>
    <row r="4289" spans="1:6">
      <c r="A4289"/>
      <c r="B4289"/>
      <c r="C4289"/>
      <c r="D4289"/>
      <c r="E4289"/>
      <c r="F4289"/>
    </row>
    <row r="4290" spans="1:6">
      <c r="A4290"/>
      <c r="B4290"/>
      <c r="C4290"/>
      <c r="D4290"/>
      <c r="E4290"/>
      <c r="F4290"/>
    </row>
    <row r="4291" spans="1:6">
      <c r="A4291"/>
      <c r="B4291"/>
      <c r="C4291"/>
      <c r="D4291"/>
      <c r="E4291"/>
      <c r="F4291"/>
    </row>
    <row r="4292" spans="1:6">
      <c r="A4292"/>
      <c r="B4292"/>
      <c r="C4292"/>
      <c r="D4292"/>
      <c r="E4292"/>
      <c r="F4292"/>
    </row>
    <row r="4293" spans="1:6">
      <c r="A4293"/>
      <c r="B4293"/>
      <c r="C4293"/>
      <c r="D4293"/>
      <c r="E4293"/>
      <c r="F4293"/>
    </row>
    <row r="4294" spans="1:6">
      <c r="A4294"/>
      <c r="B4294"/>
      <c r="C4294"/>
      <c r="D4294"/>
      <c r="E4294"/>
      <c r="F4294"/>
    </row>
    <row r="4295" spans="1:6">
      <c r="A4295"/>
      <c r="B4295"/>
      <c r="C4295"/>
      <c r="D4295"/>
      <c r="E4295"/>
      <c r="F4295"/>
    </row>
    <row r="4296" spans="1:6">
      <c r="A4296"/>
      <c r="B4296"/>
      <c r="C4296"/>
      <c r="D4296"/>
      <c r="E4296"/>
      <c r="F4296"/>
    </row>
    <row r="4297" spans="1:6">
      <c r="A4297"/>
      <c r="B4297"/>
      <c r="C4297"/>
      <c r="D4297"/>
      <c r="E4297"/>
      <c r="F4297"/>
    </row>
    <row r="4298" spans="1:6">
      <c r="A4298"/>
      <c r="B4298"/>
      <c r="C4298"/>
      <c r="D4298"/>
      <c r="E4298"/>
      <c r="F4298"/>
    </row>
    <row r="4299" spans="1:6">
      <c r="A4299"/>
      <c r="B4299"/>
      <c r="C4299"/>
      <c r="D4299"/>
      <c r="E4299"/>
      <c r="F4299"/>
    </row>
    <row r="4300" spans="1:6">
      <c r="A4300"/>
      <c r="B4300"/>
      <c r="C4300"/>
      <c r="D4300"/>
      <c r="E4300"/>
      <c r="F4300"/>
    </row>
    <row r="4301" spans="1:6">
      <c r="A4301"/>
      <c r="B4301"/>
      <c r="C4301"/>
      <c r="D4301"/>
      <c r="E4301"/>
      <c r="F4301"/>
    </row>
    <row r="4302" spans="1:6">
      <c r="A4302"/>
      <c r="B4302"/>
      <c r="C4302"/>
      <c r="D4302"/>
      <c r="E4302"/>
      <c r="F4302"/>
    </row>
    <row r="4303" spans="1:6">
      <c r="A4303"/>
      <c r="B4303"/>
      <c r="C4303"/>
      <c r="D4303"/>
      <c r="E4303"/>
      <c r="F4303"/>
    </row>
    <row r="4304" spans="1:6">
      <c r="A4304"/>
      <c r="B4304"/>
      <c r="C4304"/>
      <c r="D4304"/>
      <c r="E4304"/>
      <c r="F4304"/>
    </row>
    <row r="4305" spans="1:6">
      <c r="A4305"/>
      <c r="B4305"/>
      <c r="C4305"/>
      <c r="D4305"/>
      <c r="E4305"/>
      <c r="F4305"/>
    </row>
    <row r="4306" spans="1:6">
      <c r="A4306"/>
      <c r="B4306"/>
      <c r="C4306"/>
      <c r="D4306"/>
      <c r="E4306"/>
      <c r="F4306"/>
    </row>
    <row r="4307" spans="1:6">
      <c r="A4307"/>
      <c r="B4307"/>
      <c r="C4307"/>
      <c r="D4307"/>
      <c r="E4307"/>
      <c r="F4307"/>
    </row>
    <row r="4308" spans="1:6">
      <c r="A4308"/>
      <c r="B4308"/>
      <c r="C4308"/>
      <c r="D4308"/>
      <c r="E4308"/>
      <c r="F4308"/>
    </row>
    <row r="4309" spans="1:6">
      <c r="A4309"/>
      <c r="B4309"/>
      <c r="C4309"/>
      <c r="D4309"/>
      <c r="E4309"/>
      <c r="F4309"/>
    </row>
    <row r="4310" spans="1:6">
      <c r="A4310"/>
      <c r="B4310"/>
      <c r="C4310"/>
      <c r="D4310"/>
      <c r="E4310"/>
      <c r="F4310"/>
    </row>
    <row r="4311" spans="1:6">
      <c r="A4311"/>
      <c r="B4311"/>
      <c r="C4311"/>
      <c r="D4311"/>
      <c r="E4311"/>
      <c r="F4311"/>
    </row>
    <row r="4312" spans="1:6">
      <c r="A4312"/>
      <c r="B4312"/>
      <c r="C4312"/>
      <c r="D4312"/>
      <c r="E4312"/>
      <c r="F4312"/>
    </row>
    <row r="4313" spans="1:6">
      <c r="A4313"/>
      <c r="B4313"/>
      <c r="C4313"/>
      <c r="D4313"/>
      <c r="E4313"/>
      <c r="F4313"/>
    </row>
    <row r="4314" spans="1:6">
      <c r="A4314"/>
      <c r="B4314"/>
      <c r="C4314"/>
      <c r="D4314"/>
      <c r="E4314"/>
      <c r="F4314"/>
    </row>
    <row r="4315" spans="1:6">
      <c r="A4315"/>
      <c r="B4315"/>
      <c r="C4315"/>
      <c r="D4315"/>
      <c r="E4315"/>
      <c r="F4315"/>
    </row>
    <row r="4316" spans="1:6">
      <c r="A4316"/>
      <c r="B4316"/>
      <c r="C4316"/>
      <c r="D4316"/>
      <c r="E4316"/>
      <c r="F4316"/>
    </row>
    <row r="4317" spans="1:6">
      <c r="A4317"/>
      <c r="B4317"/>
      <c r="C4317"/>
      <c r="D4317"/>
      <c r="E4317"/>
      <c r="F4317"/>
    </row>
    <row r="4318" spans="1:6">
      <c r="A4318"/>
      <c r="B4318"/>
      <c r="C4318"/>
      <c r="D4318"/>
      <c r="E4318"/>
      <c r="F4318"/>
    </row>
    <row r="4319" spans="1:6">
      <c r="A4319"/>
      <c r="B4319"/>
      <c r="C4319"/>
      <c r="D4319"/>
      <c r="E4319"/>
      <c r="F4319"/>
    </row>
    <row r="4320" spans="1:6">
      <c r="A4320"/>
      <c r="B4320"/>
      <c r="C4320"/>
      <c r="D4320"/>
      <c r="E4320"/>
      <c r="F4320"/>
    </row>
    <row r="4321" spans="1:6">
      <c r="A4321"/>
      <c r="B4321"/>
      <c r="C4321"/>
      <c r="D4321"/>
      <c r="E4321"/>
      <c r="F4321"/>
    </row>
    <row r="4322" spans="1:6">
      <c r="A4322"/>
      <c r="B4322"/>
      <c r="C4322"/>
      <c r="D4322"/>
      <c r="E4322"/>
      <c r="F4322"/>
    </row>
    <row r="4323" spans="1:6">
      <c r="A4323"/>
      <c r="B4323"/>
      <c r="C4323"/>
      <c r="D4323"/>
      <c r="E4323"/>
      <c r="F4323"/>
    </row>
    <row r="4324" spans="1:6">
      <c r="A4324"/>
      <c r="B4324"/>
      <c r="C4324"/>
      <c r="D4324"/>
      <c r="E4324"/>
      <c r="F4324"/>
    </row>
    <row r="4325" spans="1:6">
      <c r="A4325"/>
      <c r="B4325"/>
      <c r="C4325"/>
      <c r="D4325"/>
      <c r="E4325"/>
      <c r="F4325"/>
    </row>
    <row r="4326" spans="1:6">
      <c r="A4326"/>
      <c r="B4326"/>
      <c r="C4326"/>
      <c r="D4326"/>
      <c r="E4326"/>
      <c r="F4326"/>
    </row>
    <row r="4327" spans="1:6">
      <c r="A4327"/>
      <c r="B4327"/>
      <c r="C4327"/>
      <c r="D4327"/>
      <c r="E4327"/>
      <c r="F4327"/>
    </row>
    <row r="4328" spans="1:6">
      <c r="A4328"/>
      <c r="B4328"/>
      <c r="C4328"/>
      <c r="D4328"/>
      <c r="E4328"/>
      <c r="F4328"/>
    </row>
    <row r="4329" spans="1:6">
      <c r="A4329"/>
      <c r="B4329"/>
      <c r="C4329"/>
      <c r="D4329"/>
      <c r="E4329"/>
      <c r="F4329"/>
    </row>
    <row r="4330" spans="1:6">
      <c r="A4330"/>
      <c r="B4330"/>
      <c r="C4330"/>
      <c r="D4330"/>
      <c r="E4330"/>
      <c r="F4330"/>
    </row>
    <row r="4331" spans="1:6">
      <c r="A4331"/>
      <c r="B4331"/>
      <c r="C4331"/>
      <c r="D4331"/>
      <c r="E4331"/>
      <c r="F4331"/>
    </row>
    <row r="4332" spans="1:6">
      <c r="A4332"/>
      <c r="B4332"/>
      <c r="C4332"/>
      <c r="D4332"/>
      <c r="E4332"/>
      <c r="F4332"/>
    </row>
    <row r="4333" spans="1:6">
      <c r="A4333"/>
      <c r="B4333"/>
      <c r="C4333"/>
      <c r="D4333"/>
      <c r="E4333"/>
      <c r="F4333"/>
    </row>
    <row r="4334" spans="1:6">
      <c r="A4334"/>
      <c r="B4334"/>
      <c r="C4334"/>
      <c r="D4334"/>
      <c r="E4334"/>
      <c r="F4334"/>
    </row>
    <row r="4335" spans="1:6">
      <c r="A4335"/>
      <c r="B4335"/>
      <c r="C4335"/>
      <c r="D4335"/>
      <c r="E4335"/>
      <c r="F4335"/>
    </row>
    <row r="4336" spans="1:6">
      <c r="A4336"/>
      <c r="B4336"/>
      <c r="C4336"/>
      <c r="D4336"/>
      <c r="E4336"/>
      <c r="F4336"/>
    </row>
    <row r="4337" spans="1:6">
      <c r="A4337"/>
      <c r="B4337"/>
      <c r="C4337"/>
      <c r="D4337"/>
      <c r="E4337"/>
      <c r="F4337"/>
    </row>
    <row r="4338" spans="1:6">
      <c r="A4338"/>
      <c r="B4338"/>
      <c r="C4338"/>
      <c r="D4338"/>
      <c r="E4338"/>
      <c r="F4338"/>
    </row>
    <row r="4339" spans="1:6">
      <c r="A4339"/>
      <c r="B4339"/>
      <c r="C4339"/>
      <c r="D4339"/>
      <c r="E4339"/>
      <c r="F4339"/>
    </row>
    <row r="4340" spans="1:6">
      <c r="A4340"/>
      <c r="B4340"/>
      <c r="C4340"/>
      <c r="D4340"/>
      <c r="E4340"/>
      <c r="F4340"/>
    </row>
    <row r="4341" spans="1:6">
      <c r="A4341"/>
      <c r="B4341"/>
      <c r="C4341"/>
      <c r="D4341"/>
      <c r="E4341"/>
      <c r="F4341"/>
    </row>
    <row r="4342" spans="1:6">
      <c r="A4342"/>
      <c r="B4342"/>
      <c r="C4342"/>
      <c r="D4342"/>
      <c r="E4342"/>
      <c r="F4342"/>
    </row>
    <row r="4343" spans="1:6">
      <c r="A4343"/>
      <c r="B4343"/>
      <c r="C4343"/>
      <c r="D4343"/>
      <c r="E4343"/>
      <c r="F4343"/>
    </row>
    <row r="4344" spans="1:6">
      <c r="A4344"/>
      <c r="B4344"/>
      <c r="C4344"/>
      <c r="D4344"/>
      <c r="E4344"/>
      <c r="F4344"/>
    </row>
    <row r="4345" spans="1:6">
      <c r="A4345"/>
      <c r="B4345"/>
      <c r="C4345"/>
      <c r="D4345"/>
      <c r="E4345"/>
      <c r="F4345"/>
    </row>
    <row r="4346" spans="1:6">
      <c r="A4346"/>
      <c r="B4346"/>
      <c r="C4346"/>
      <c r="D4346"/>
      <c r="E4346"/>
      <c r="F4346"/>
    </row>
    <row r="4347" spans="1:6">
      <c r="A4347"/>
      <c r="B4347"/>
      <c r="C4347"/>
      <c r="D4347"/>
      <c r="E4347"/>
      <c r="F4347"/>
    </row>
    <row r="4348" spans="1:6">
      <c r="A4348"/>
      <c r="B4348"/>
      <c r="C4348"/>
      <c r="D4348"/>
      <c r="E4348"/>
      <c r="F4348"/>
    </row>
    <row r="4349" spans="1:6">
      <c r="A4349"/>
      <c r="B4349"/>
      <c r="C4349"/>
      <c r="D4349"/>
      <c r="E4349"/>
      <c r="F4349"/>
    </row>
    <row r="4350" spans="1:6">
      <c r="A4350"/>
      <c r="B4350"/>
      <c r="C4350"/>
      <c r="D4350"/>
      <c r="E4350"/>
      <c r="F4350"/>
    </row>
    <row r="4351" spans="1:6">
      <c r="A4351"/>
      <c r="B4351"/>
      <c r="C4351"/>
      <c r="D4351"/>
      <c r="E4351"/>
      <c r="F4351"/>
    </row>
    <row r="4352" spans="1:6">
      <c r="A4352"/>
      <c r="B4352"/>
      <c r="C4352"/>
      <c r="D4352"/>
      <c r="E4352"/>
      <c r="F4352"/>
    </row>
    <row r="4353" spans="1:6">
      <c r="A4353"/>
      <c r="B4353"/>
      <c r="C4353"/>
      <c r="D4353"/>
      <c r="E4353"/>
      <c r="F4353"/>
    </row>
    <row r="4354" spans="1:6">
      <c r="A4354"/>
      <c r="B4354"/>
      <c r="C4354"/>
      <c r="D4354"/>
      <c r="E4354"/>
      <c r="F4354"/>
    </row>
    <row r="4355" spans="1:6">
      <c r="A4355"/>
      <c r="B4355"/>
      <c r="C4355"/>
      <c r="D4355"/>
      <c r="E4355"/>
      <c r="F4355"/>
    </row>
    <row r="4356" spans="1:6">
      <c r="A4356"/>
      <c r="B4356"/>
      <c r="C4356"/>
      <c r="D4356"/>
      <c r="E4356"/>
      <c r="F4356"/>
    </row>
    <row r="4357" spans="1:6">
      <c r="A4357"/>
      <c r="B4357"/>
      <c r="C4357"/>
      <c r="D4357"/>
      <c r="E4357"/>
      <c r="F4357"/>
    </row>
    <row r="4358" spans="1:6">
      <c r="A4358"/>
      <c r="B4358"/>
      <c r="C4358"/>
      <c r="D4358"/>
      <c r="E4358"/>
      <c r="F4358"/>
    </row>
    <row r="4359" spans="1:6">
      <c r="A4359"/>
      <c r="B4359"/>
      <c r="C4359"/>
      <c r="D4359"/>
      <c r="E4359"/>
      <c r="F4359"/>
    </row>
    <row r="4360" spans="1:6">
      <c r="A4360"/>
      <c r="B4360"/>
      <c r="C4360"/>
      <c r="D4360"/>
      <c r="E4360"/>
      <c r="F4360"/>
    </row>
    <row r="4361" spans="1:6">
      <c r="A4361"/>
      <c r="B4361"/>
      <c r="C4361"/>
      <c r="D4361"/>
      <c r="E4361"/>
      <c r="F4361"/>
    </row>
    <row r="4362" spans="1:6">
      <c r="A4362"/>
      <c r="B4362"/>
      <c r="C4362"/>
      <c r="D4362"/>
      <c r="E4362"/>
      <c r="F4362"/>
    </row>
    <row r="4363" spans="1:6">
      <c r="A4363"/>
      <c r="B4363"/>
      <c r="C4363"/>
      <c r="D4363"/>
      <c r="E4363"/>
      <c r="F4363"/>
    </row>
    <row r="4364" spans="1:6">
      <c r="A4364"/>
      <c r="B4364"/>
      <c r="C4364"/>
      <c r="D4364"/>
      <c r="E4364"/>
      <c r="F4364"/>
    </row>
    <row r="4365" spans="1:6">
      <c r="A4365"/>
      <c r="B4365"/>
      <c r="C4365"/>
      <c r="D4365"/>
      <c r="E4365"/>
      <c r="F4365"/>
    </row>
    <row r="4366" spans="1:6">
      <c r="A4366"/>
      <c r="B4366"/>
      <c r="C4366"/>
      <c r="D4366"/>
      <c r="E4366"/>
      <c r="F4366"/>
    </row>
    <row r="4367" spans="1:6">
      <c r="A4367"/>
      <c r="B4367"/>
      <c r="C4367"/>
      <c r="D4367"/>
      <c r="E4367"/>
      <c r="F4367"/>
    </row>
    <row r="4368" spans="1:6">
      <c r="A4368"/>
      <c r="B4368"/>
      <c r="C4368"/>
      <c r="D4368"/>
      <c r="E4368"/>
      <c r="F4368"/>
    </row>
    <row r="4369" spans="1:6">
      <c r="A4369"/>
      <c r="B4369"/>
      <c r="C4369"/>
      <c r="D4369"/>
      <c r="E4369"/>
      <c r="F4369"/>
    </row>
    <row r="4370" spans="1:6">
      <c r="A4370"/>
      <c r="B4370"/>
      <c r="C4370"/>
      <c r="D4370"/>
      <c r="E4370"/>
      <c r="F4370"/>
    </row>
    <row r="4371" spans="1:6">
      <c r="A4371"/>
      <c r="B4371"/>
      <c r="C4371"/>
      <c r="D4371"/>
      <c r="E4371"/>
      <c r="F4371"/>
    </row>
    <row r="4372" spans="1:6">
      <c r="A4372"/>
      <c r="B4372"/>
      <c r="C4372"/>
      <c r="D4372"/>
      <c r="E4372"/>
      <c r="F4372"/>
    </row>
    <row r="4373" spans="1:6">
      <c r="A4373"/>
      <c r="B4373"/>
      <c r="C4373"/>
      <c r="D4373"/>
      <c r="E4373"/>
      <c r="F4373"/>
    </row>
    <row r="4374" spans="1:6">
      <c r="A4374"/>
      <c r="B4374"/>
      <c r="C4374"/>
      <c r="D4374"/>
      <c r="E4374"/>
      <c r="F4374"/>
    </row>
    <row r="4375" spans="1:6">
      <c r="A4375"/>
      <c r="B4375"/>
      <c r="C4375"/>
      <c r="D4375"/>
      <c r="E4375"/>
      <c r="F4375"/>
    </row>
    <row r="4376" spans="1:6">
      <c r="A4376"/>
      <c r="B4376"/>
      <c r="C4376"/>
      <c r="D4376"/>
      <c r="E4376"/>
      <c r="F4376"/>
    </row>
    <row r="4377" spans="1:6">
      <c r="A4377"/>
      <c r="B4377"/>
      <c r="C4377"/>
      <c r="D4377"/>
      <c r="E4377"/>
      <c r="F4377"/>
    </row>
    <row r="4378" spans="1:6">
      <c r="A4378"/>
      <c r="B4378"/>
      <c r="C4378"/>
      <c r="D4378"/>
      <c r="E4378"/>
      <c r="F4378"/>
    </row>
    <row r="4379" spans="1:6">
      <c r="A4379"/>
      <c r="B4379"/>
      <c r="C4379"/>
      <c r="D4379"/>
      <c r="E4379"/>
      <c r="F4379"/>
    </row>
    <row r="4380" spans="1:6">
      <c r="A4380"/>
      <c r="B4380"/>
      <c r="C4380"/>
      <c r="D4380"/>
      <c r="E4380"/>
      <c r="F4380"/>
    </row>
    <row r="4381" spans="1:6">
      <c r="A4381"/>
      <c r="B4381"/>
      <c r="C4381"/>
      <c r="D4381"/>
      <c r="E4381"/>
      <c r="F4381"/>
    </row>
    <row r="4382" spans="1:6">
      <c r="A4382"/>
      <c r="B4382"/>
      <c r="C4382"/>
      <c r="D4382"/>
      <c r="E4382"/>
      <c r="F4382"/>
    </row>
    <row r="4383" spans="1:6">
      <c r="A4383"/>
      <c r="B4383"/>
      <c r="C4383"/>
      <c r="D4383"/>
      <c r="E4383"/>
      <c r="F4383"/>
    </row>
    <row r="4384" spans="1:6">
      <c r="A4384"/>
      <c r="B4384"/>
      <c r="C4384"/>
      <c r="D4384"/>
      <c r="E4384"/>
      <c r="F4384"/>
    </row>
    <row r="4385" spans="1:6">
      <c r="A4385"/>
      <c r="B4385"/>
      <c r="C4385"/>
      <c r="D4385"/>
      <c r="E4385"/>
      <c r="F4385"/>
    </row>
    <row r="4386" spans="1:6">
      <c r="A4386"/>
      <c r="B4386"/>
      <c r="C4386"/>
      <c r="D4386"/>
      <c r="E4386"/>
      <c r="F4386"/>
    </row>
    <row r="4387" spans="1:6">
      <c r="A4387"/>
      <c r="B4387"/>
      <c r="C4387"/>
      <c r="D4387"/>
      <c r="E4387"/>
      <c r="F4387"/>
    </row>
    <row r="4388" spans="1:6">
      <c r="A4388"/>
      <c r="B4388"/>
      <c r="C4388"/>
      <c r="D4388"/>
      <c r="E4388"/>
      <c r="F4388"/>
    </row>
    <row r="4389" spans="1:6">
      <c r="A4389"/>
      <c r="B4389"/>
      <c r="C4389"/>
      <c r="D4389"/>
      <c r="E4389"/>
      <c r="F4389"/>
    </row>
    <row r="4390" spans="1:6">
      <c r="A4390"/>
      <c r="B4390"/>
      <c r="C4390"/>
      <c r="D4390"/>
      <c r="E4390"/>
      <c r="F4390"/>
    </row>
    <row r="4391" spans="1:6">
      <c r="A4391"/>
      <c r="B4391"/>
      <c r="C4391"/>
      <c r="D4391"/>
      <c r="E4391"/>
      <c r="F4391"/>
    </row>
    <row r="4392" spans="1:6">
      <c r="A4392"/>
      <c r="B4392"/>
      <c r="C4392"/>
      <c r="D4392"/>
      <c r="E4392"/>
      <c r="F4392"/>
    </row>
    <row r="4393" spans="1:6">
      <c r="A4393"/>
      <c r="B4393"/>
      <c r="C4393"/>
      <c r="D4393"/>
      <c r="E4393"/>
      <c r="F4393"/>
    </row>
    <row r="4394" spans="1:6">
      <c r="A4394"/>
      <c r="B4394"/>
      <c r="C4394"/>
      <c r="D4394"/>
      <c r="E4394"/>
      <c r="F4394"/>
    </row>
    <row r="4395" spans="1:6">
      <c r="A4395"/>
      <c r="B4395"/>
      <c r="C4395"/>
      <c r="D4395"/>
      <c r="E4395"/>
      <c r="F4395"/>
    </row>
    <row r="4396" spans="1:6">
      <c r="A4396"/>
      <c r="B4396"/>
      <c r="C4396"/>
      <c r="D4396"/>
      <c r="E4396"/>
      <c r="F4396"/>
    </row>
    <row r="4397" spans="1:6">
      <c r="A4397"/>
      <c r="B4397"/>
      <c r="C4397"/>
      <c r="D4397"/>
      <c r="E4397"/>
      <c r="F4397"/>
    </row>
    <row r="4398" spans="1:6">
      <c r="A4398"/>
      <c r="B4398"/>
      <c r="C4398"/>
      <c r="D4398"/>
      <c r="E4398"/>
      <c r="F4398"/>
    </row>
    <row r="4399" spans="1:6">
      <c r="A4399"/>
      <c r="B4399"/>
      <c r="C4399"/>
      <c r="D4399"/>
      <c r="E4399"/>
      <c r="F4399"/>
    </row>
    <row r="4400" spans="1:6">
      <c r="A4400"/>
      <c r="B4400"/>
      <c r="C4400"/>
      <c r="D4400"/>
      <c r="E4400"/>
      <c r="F4400"/>
    </row>
    <row r="4401" spans="1:6">
      <c r="A4401"/>
      <c r="B4401"/>
      <c r="C4401"/>
      <c r="D4401"/>
      <c r="E4401"/>
      <c r="F4401"/>
    </row>
    <row r="4402" spans="1:6">
      <c r="A4402"/>
      <c r="B4402"/>
      <c r="C4402"/>
      <c r="D4402"/>
      <c r="E4402"/>
      <c r="F4402"/>
    </row>
    <row r="4403" spans="1:6">
      <c r="A4403"/>
      <c r="B4403"/>
      <c r="C4403"/>
      <c r="D4403"/>
      <c r="E4403"/>
      <c r="F4403"/>
    </row>
    <row r="4404" spans="1:6">
      <c r="A4404"/>
      <c r="B4404"/>
      <c r="C4404"/>
      <c r="D4404"/>
      <c r="E4404"/>
      <c r="F4404"/>
    </row>
    <row r="4405" spans="1:6">
      <c r="A4405"/>
      <c r="B4405"/>
      <c r="C4405"/>
      <c r="D4405"/>
      <c r="E4405"/>
      <c r="F4405"/>
    </row>
    <row r="4406" spans="1:6">
      <c r="A4406"/>
      <c r="B4406"/>
      <c r="C4406"/>
      <c r="D4406"/>
      <c r="E4406"/>
      <c r="F4406"/>
    </row>
    <row r="4407" spans="1:6">
      <c r="A4407"/>
      <c r="B4407"/>
      <c r="C4407"/>
      <c r="D4407"/>
      <c r="E4407"/>
      <c r="F4407"/>
    </row>
    <row r="4408" spans="1:6">
      <c r="A4408"/>
      <c r="B4408"/>
      <c r="C4408"/>
      <c r="D4408"/>
      <c r="E4408"/>
      <c r="F4408"/>
    </row>
    <row r="4409" spans="1:6">
      <c r="A4409"/>
      <c r="B4409"/>
      <c r="C4409"/>
      <c r="D4409"/>
      <c r="E4409"/>
      <c r="F4409"/>
    </row>
    <row r="4410" spans="1:6">
      <c r="A4410"/>
      <c r="B4410"/>
      <c r="C4410"/>
      <c r="D4410"/>
      <c r="E4410"/>
      <c r="F4410"/>
    </row>
    <row r="4411" spans="1:6">
      <c r="A4411"/>
      <c r="B4411"/>
      <c r="C4411"/>
      <c r="D4411"/>
      <c r="E4411"/>
      <c r="F4411"/>
    </row>
    <row r="4412" spans="1:6">
      <c r="A4412"/>
      <c r="B4412"/>
      <c r="C4412"/>
      <c r="D4412"/>
      <c r="E4412"/>
      <c r="F4412"/>
    </row>
    <row r="4413" spans="1:6">
      <c r="A4413"/>
      <c r="B4413"/>
      <c r="C4413"/>
      <c r="D4413"/>
      <c r="E4413"/>
      <c r="F4413"/>
    </row>
    <row r="4414" spans="1:6">
      <c r="A4414"/>
      <c r="B4414"/>
      <c r="C4414"/>
      <c r="D4414"/>
      <c r="E4414"/>
      <c r="F4414"/>
    </row>
    <row r="4415" spans="1:6">
      <c r="A4415"/>
      <c r="B4415"/>
      <c r="C4415"/>
      <c r="D4415"/>
      <c r="E4415"/>
      <c r="F4415"/>
    </row>
    <row r="4416" spans="1:6">
      <c r="A4416"/>
      <c r="B4416"/>
      <c r="C4416"/>
      <c r="D4416"/>
      <c r="E4416"/>
      <c r="F4416"/>
    </row>
    <row r="4417" spans="1:6">
      <c r="A4417"/>
      <c r="B4417"/>
      <c r="C4417"/>
      <c r="D4417"/>
      <c r="E4417"/>
      <c r="F4417"/>
    </row>
    <row r="4418" spans="1:6">
      <c r="A4418"/>
      <c r="B4418"/>
      <c r="C4418"/>
      <c r="D4418"/>
      <c r="E4418"/>
      <c r="F4418"/>
    </row>
    <row r="4419" spans="1:6">
      <c r="A4419"/>
      <c r="B4419"/>
      <c r="C4419"/>
      <c r="D4419"/>
      <c r="E4419"/>
      <c r="F4419"/>
    </row>
    <row r="4420" spans="1:6">
      <c r="A4420"/>
      <c r="B4420"/>
      <c r="C4420"/>
      <c r="D4420"/>
      <c r="E4420"/>
      <c r="F4420"/>
    </row>
    <row r="4421" spans="1:6">
      <c r="A4421"/>
      <c r="B4421"/>
      <c r="C4421"/>
      <c r="D4421"/>
      <c r="E4421"/>
      <c r="F4421"/>
    </row>
    <row r="4422" spans="1:6">
      <c r="A4422"/>
      <c r="B4422"/>
      <c r="C4422"/>
      <c r="D4422"/>
      <c r="E4422"/>
      <c r="F4422"/>
    </row>
    <row r="4423" spans="1:6">
      <c r="A4423"/>
      <c r="B4423"/>
      <c r="C4423"/>
      <c r="D4423"/>
      <c r="E4423"/>
      <c r="F4423"/>
    </row>
    <row r="4424" spans="1:6">
      <c r="A4424"/>
      <c r="B4424"/>
      <c r="C4424"/>
      <c r="D4424"/>
      <c r="E4424"/>
      <c r="F4424"/>
    </row>
    <row r="4425" spans="1:6">
      <c r="A4425"/>
      <c r="B4425"/>
      <c r="C4425"/>
      <c r="D4425"/>
      <c r="E4425"/>
      <c r="F4425"/>
    </row>
    <row r="4426" spans="1:6">
      <c r="A4426"/>
      <c r="B4426"/>
      <c r="C4426"/>
      <c r="D4426"/>
      <c r="E4426"/>
      <c r="F4426"/>
    </row>
    <row r="4427" spans="1:6">
      <c r="A4427"/>
      <c r="B4427"/>
      <c r="C4427"/>
      <c r="D4427"/>
      <c r="E4427"/>
      <c r="F4427"/>
    </row>
    <row r="4428" spans="1:6">
      <c r="A4428"/>
      <c r="B4428"/>
      <c r="C4428"/>
      <c r="D4428"/>
      <c r="E4428"/>
      <c r="F4428"/>
    </row>
    <row r="4429" spans="1:6">
      <c r="A4429"/>
      <c r="B4429"/>
      <c r="C4429"/>
      <c r="D4429"/>
      <c r="E4429"/>
      <c r="F4429"/>
    </row>
    <row r="4430" spans="1:6">
      <c r="A4430"/>
      <c r="B4430"/>
      <c r="C4430"/>
      <c r="D4430"/>
      <c r="E4430"/>
      <c r="F4430"/>
    </row>
    <row r="4431" spans="1:6">
      <c r="A4431"/>
      <c r="B4431"/>
      <c r="C4431"/>
      <c r="D4431"/>
      <c r="E4431"/>
      <c r="F4431"/>
    </row>
    <row r="4432" spans="1:6">
      <c r="A4432"/>
      <c r="B4432"/>
      <c r="C4432"/>
      <c r="D4432"/>
      <c r="E4432"/>
      <c r="F4432"/>
    </row>
    <row r="4433" spans="1:6">
      <c r="A4433"/>
      <c r="B4433"/>
      <c r="C4433"/>
      <c r="D4433"/>
      <c r="E4433"/>
      <c r="F4433"/>
    </row>
    <row r="4434" spans="1:6">
      <c r="A4434"/>
      <c r="B4434"/>
      <c r="C4434"/>
      <c r="D4434"/>
      <c r="E4434"/>
      <c r="F4434"/>
    </row>
    <row r="4435" spans="1:6">
      <c r="A4435"/>
      <c r="B4435"/>
      <c r="C4435"/>
      <c r="D4435"/>
      <c r="E4435"/>
      <c r="F4435"/>
    </row>
    <row r="4436" spans="1:6">
      <c r="A4436"/>
      <c r="B4436"/>
      <c r="C4436"/>
      <c r="D4436"/>
      <c r="E4436"/>
      <c r="F4436"/>
    </row>
    <row r="4437" spans="1:6">
      <c r="A4437"/>
      <c r="B4437"/>
      <c r="C4437"/>
      <c r="D4437"/>
      <c r="E4437"/>
      <c r="F4437"/>
    </row>
    <row r="4438" spans="1:6">
      <c r="A4438"/>
      <c r="B4438"/>
      <c r="C4438"/>
      <c r="D4438"/>
      <c r="E4438"/>
      <c r="F4438"/>
    </row>
    <row r="4439" spans="1:6">
      <c r="A4439"/>
      <c r="B4439"/>
      <c r="C4439"/>
      <c r="D4439"/>
      <c r="E4439"/>
      <c r="F4439"/>
    </row>
    <row r="4440" spans="1:6">
      <c r="A4440"/>
      <c r="B4440"/>
      <c r="C4440"/>
      <c r="D4440"/>
      <c r="E4440"/>
      <c r="F4440"/>
    </row>
    <row r="4441" spans="1:6">
      <c r="A4441"/>
      <c r="B4441"/>
      <c r="C4441"/>
      <c r="D4441"/>
      <c r="E4441"/>
      <c r="F4441"/>
    </row>
    <row r="4442" spans="1:6">
      <c r="A4442"/>
      <c r="B4442"/>
      <c r="C4442"/>
      <c r="D4442"/>
      <c r="E4442"/>
      <c r="F4442"/>
    </row>
    <row r="4443" spans="1:6">
      <c r="A4443"/>
      <c r="B4443"/>
      <c r="C4443"/>
      <c r="D4443"/>
      <c r="E4443"/>
      <c r="F4443"/>
    </row>
    <row r="4444" spans="1:6">
      <c r="A4444"/>
      <c r="B4444"/>
      <c r="C4444"/>
      <c r="D4444"/>
      <c r="E4444"/>
      <c r="F4444"/>
    </row>
    <row r="4445" spans="1:6">
      <c r="A4445"/>
      <c r="B4445"/>
      <c r="C4445"/>
      <c r="D4445"/>
      <c r="E4445"/>
      <c r="F4445"/>
    </row>
    <row r="4446" spans="1:6">
      <c r="A4446"/>
      <c r="B4446"/>
      <c r="C4446"/>
      <c r="D4446"/>
      <c r="E4446"/>
      <c r="F4446"/>
    </row>
    <row r="4447" spans="1:6">
      <c r="A4447"/>
      <c r="B4447"/>
      <c r="C4447"/>
      <c r="D4447"/>
      <c r="E4447"/>
      <c r="F4447"/>
    </row>
    <row r="4448" spans="1:6">
      <c r="A4448"/>
      <c r="B4448"/>
      <c r="C4448"/>
      <c r="D4448"/>
      <c r="E4448"/>
      <c r="F4448"/>
    </row>
    <row r="4449" spans="1:6">
      <c r="A4449"/>
      <c r="B4449"/>
      <c r="C4449"/>
      <c r="D4449"/>
      <c r="E4449"/>
      <c r="F4449"/>
    </row>
    <row r="4450" spans="1:6">
      <c r="A4450"/>
      <c r="B4450"/>
      <c r="C4450"/>
      <c r="D4450"/>
      <c r="E4450"/>
      <c r="F4450"/>
    </row>
    <row r="4451" spans="1:6">
      <c r="A4451"/>
      <c r="B4451"/>
      <c r="C4451"/>
      <c r="D4451"/>
      <c r="E4451"/>
      <c r="F4451"/>
    </row>
    <row r="4452" spans="1:6">
      <c r="A4452"/>
      <c r="B4452"/>
      <c r="C4452"/>
      <c r="D4452"/>
      <c r="E4452"/>
      <c r="F4452"/>
    </row>
    <row r="4453" spans="1:6">
      <c r="A4453"/>
      <c r="B4453"/>
      <c r="C4453"/>
      <c r="D4453"/>
      <c r="E4453"/>
      <c r="F4453"/>
    </row>
    <row r="4454" spans="1:6">
      <c r="A4454"/>
      <c r="B4454"/>
      <c r="C4454"/>
      <c r="D4454"/>
      <c r="E4454"/>
      <c r="F4454"/>
    </row>
    <row r="4455" spans="1:6">
      <c r="A4455"/>
      <c r="B4455"/>
      <c r="C4455"/>
      <c r="D4455"/>
      <c r="E4455"/>
      <c r="F4455"/>
    </row>
    <row r="4456" spans="1:6">
      <c r="A4456"/>
      <c r="B4456"/>
      <c r="C4456"/>
      <c r="D4456"/>
      <c r="E4456"/>
      <c r="F4456"/>
    </row>
    <row r="4457" spans="1:6">
      <c r="A4457"/>
      <c r="B4457"/>
      <c r="C4457"/>
      <c r="D4457"/>
      <c r="E4457"/>
      <c r="F4457"/>
    </row>
    <row r="4458" spans="1:6">
      <c r="A4458"/>
      <c r="B4458"/>
      <c r="C4458"/>
      <c r="D4458"/>
      <c r="E4458"/>
      <c r="F4458"/>
    </row>
    <row r="4459" spans="1:6">
      <c r="A4459"/>
      <c r="B4459"/>
      <c r="C4459"/>
      <c r="D4459"/>
      <c r="E4459"/>
      <c r="F4459"/>
    </row>
    <row r="4460" spans="1:6">
      <c r="A4460"/>
      <c r="B4460"/>
      <c r="C4460"/>
      <c r="D4460"/>
      <c r="E4460"/>
      <c r="F4460"/>
    </row>
    <row r="4461" spans="1:6">
      <c r="A4461"/>
      <c r="B4461"/>
      <c r="C4461"/>
      <c r="D4461"/>
      <c r="E4461"/>
      <c r="F4461"/>
    </row>
    <row r="4462" spans="1:6">
      <c r="A4462"/>
      <c r="B4462"/>
      <c r="C4462"/>
      <c r="D4462"/>
      <c r="E4462"/>
      <c r="F4462"/>
    </row>
    <row r="4463" spans="1:6">
      <c r="A4463"/>
      <c r="B4463"/>
      <c r="C4463"/>
      <c r="D4463"/>
      <c r="E4463"/>
      <c r="F4463"/>
    </row>
    <row r="4464" spans="1:6">
      <c r="A4464"/>
      <c r="B4464"/>
      <c r="C4464"/>
      <c r="D4464"/>
      <c r="E4464"/>
      <c r="F4464"/>
    </row>
    <row r="4465" spans="1:6">
      <c r="A4465"/>
      <c r="B4465"/>
      <c r="C4465"/>
      <c r="D4465"/>
      <c r="E4465"/>
      <c r="F4465"/>
    </row>
    <row r="4466" spans="1:6">
      <c r="A4466"/>
      <c r="B4466"/>
      <c r="C4466"/>
      <c r="D4466"/>
      <c r="E4466"/>
      <c r="F4466"/>
    </row>
    <row r="4467" spans="1:6">
      <c r="A4467"/>
      <c r="B4467"/>
      <c r="C4467"/>
      <c r="D4467"/>
      <c r="E4467"/>
      <c r="F4467"/>
    </row>
    <row r="4468" spans="1:6">
      <c r="A4468"/>
      <c r="B4468"/>
      <c r="C4468"/>
      <c r="D4468"/>
      <c r="E4468"/>
      <c r="F4468"/>
    </row>
    <row r="4469" spans="1:6">
      <c r="A4469"/>
      <c r="B4469"/>
      <c r="C4469"/>
      <c r="D4469"/>
      <c r="E4469"/>
      <c r="F4469"/>
    </row>
    <row r="4470" spans="1:6">
      <c r="A4470"/>
      <c r="B4470"/>
      <c r="C4470"/>
      <c r="D4470"/>
      <c r="E4470"/>
      <c r="F4470"/>
    </row>
    <row r="4471" spans="1:6">
      <c r="A4471"/>
      <c r="B4471"/>
      <c r="C4471"/>
      <c r="D4471"/>
      <c r="E4471"/>
      <c r="F4471"/>
    </row>
    <row r="4472" spans="1:6">
      <c r="A4472"/>
      <c r="B4472"/>
      <c r="C4472"/>
      <c r="D4472"/>
      <c r="E4472"/>
      <c r="F4472"/>
    </row>
    <row r="4473" spans="1:6">
      <c r="A4473"/>
      <c r="B4473"/>
      <c r="C4473"/>
      <c r="D4473"/>
      <c r="E4473"/>
      <c r="F4473"/>
    </row>
    <row r="4474" spans="1:6">
      <c r="A4474"/>
      <c r="B4474"/>
      <c r="C4474"/>
      <c r="D4474"/>
      <c r="E4474"/>
      <c r="F4474"/>
    </row>
    <row r="4475" spans="1:6">
      <c r="A4475"/>
      <c r="B4475"/>
      <c r="C4475"/>
      <c r="D4475"/>
      <c r="E4475"/>
      <c r="F4475"/>
    </row>
    <row r="4476" spans="1:6">
      <c r="A4476"/>
      <c r="B4476"/>
      <c r="C4476"/>
      <c r="D4476"/>
      <c r="E4476"/>
      <c r="F4476"/>
    </row>
    <row r="4477" spans="1:6">
      <c r="A4477"/>
      <c r="B4477"/>
      <c r="C4477"/>
      <c r="D4477"/>
      <c r="E4477"/>
      <c r="F4477"/>
    </row>
    <row r="4478" spans="1:6">
      <c r="A4478"/>
      <c r="B4478"/>
      <c r="C4478"/>
      <c r="D4478"/>
      <c r="E4478"/>
      <c r="F4478"/>
    </row>
    <row r="4479" spans="1:6">
      <c r="A4479"/>
      <c r="B4479"/>
      <c r="C4479"/>
      <c r="D4479"/>
      <c r="E4479"/>
      <c r="F4479"/>
    </row>
    <row r="4480" spans="1:6">
      <c r="A4480"/>
      <c r="B4480"/>
      <c r="C4480"/>
      <c r="D4480"/>
      <c r="E4480"/>
      <c r="F4480"/>
    </row>
    <row r="4481" spans="1:6">
      <c r="A4481"/>
      <c r="B4481"/>
      <c r="C4481"/>
      <c r="D4481"/>
      <c r="E4481"/>
      <c r="F4481"/>
    </row>
    <row r="4482" spans="1:6">
      <c r="A4482"/>
      <c r="B4482"/>
      <c r="C4482"/>
      <c r="D4482"/>
      <c r="E4482"/>
      <c r="F4482"/>
    </row>
    <row r="4483" spans="1:6">
      <c r="A4483"/>
      <c r="B4483"/>
      <c r="C4483"/>
      <c r="D4483"/>
      <c r="E4483"/>
      <c r="F4483"/>
    </row>
    <row r="4484" spans="1:6">
      <c r="A4484"/>
      <c r="B4484"/>
      <c r="C4484"/>
      <c r="D4484"/>
      <c r="E4484"/>
      <c r="F4484"/>
    </row>
    <row r="4485" spans="1:6">
      <c r="A4485"/>
      <c r="B4485"/>
      <c r="C4485"/>
      <c r="D4485"/>
      <c r="E4485"/>
      <c r="F4485"/>
    </row>
    <row r="4486" spans="1:6">
      <c r="A4486"/>
      <c r="B4486"/>
      <c r="C4486"/>
      <c r="D4486"/>
      <c r="E4486"/>
      <c r="F4486"/>
    </row>
    <row r="4487" spans="1:6">
      <c r="A4487"/>
      <c r="B4487"/>
      <c r="C4487"/>
      <c r="D4487"/>
      <c r="E4487"/>
      <c r="F4487"/>
    </row>
    <row r="4488" spans="1:6">
      <c r="A4488"/>
      <c r="B4488"/>
      <c r="C4488"/>
      <c r="D4488"/>
      <c r="E4488"/>
      <c r="F4488"/>
    </row>
    <row r="4489" spans="1:6">
      <c r="A4489"/>
      <c r="B4489"/>
      <c r="C4489"/>
      <c r="D4489"/>
      <c r="E4489"/>
      <c r="F4489"/>
    </row>
    <row r="4490" spans="1:6">
      <c r="A4490"/>
      <c r="B4490"/>
      <c r="C4490"/>
      <c r="D4490"/>
      <c r="E4490"/>
      <c r="F4490"/>
    </row>
    <row r="4491" spans="1:6">
      <c r="A4491"/>
      <c r="B4491"/>
      <c r="C4491"/>
      <c r="D4491"/>
      <c r="E4491"/>
      <c r="F4491"/>
    </row>
    <row r="4492" spans="1:6">
      <c r="A4492"/>
      <c r="B4492"/>
      <c r="C4492"/>
      <c r="D4492"/>
      <c r="E4492"/>
      <c r="F4492"/>
    </row>
    <row r="4493" spans="1:6">
      <c r="A4493"/>
      <c r="B4493"/>
      <c r="C4493"/>
      <c r="D4493"/>
      <c r="E4493"/>
      <c r="F4493"/>
    </row>
    <row r="4494" spans="1:6">
      <c r="A4494"/>
      <c r="B4494"/>
      <c r="C4494"/>
      <c r="D4494"/>
      <c r="E4494"/>
      <c r="F4494"/>
    </row>
    <row r="4495" spans="1:6">
      <c r="A4495"/>
      <c r="B4495"/>
      <c r="C4495"/>
      <c r="D4495"/>
      <c r="E4495"/>
      <c r="F4495"/>
    </row>
    <row r="4496" spans="1:6">
      <c r="A4496"/>
      <c r="B4496"/>
      <c r="C4496"/>
      <c r="D4496"/>
      <c r="E4496"/>
      <c r="F4496"/>
    </row>
    <row r="4497" spans="1:6">
      <c r="A4497"/>
      <c r="B4497"/>
      <c r="C4497"/>
      <c r="D4497"/>
      <c r="E4497"/>
      <c r="F4497"/>
    </row>
    <row r="4498" spans="1:6">
      <c r="A4498"/>
      <c r="B4498"/>
      <c r="C4498"/>
      <c r="D4498"/>
      <c r="E4498"/>
      <c r="F4498"/>
    </row>
    <row r="4499" spans="1:6">
      <c r="A4499"/>
      <c r="B4499"/>
      <c r="C4499"/>
      <c r="D4499"/>
      <c r="E4499"/>
      <c r="F4499"/>
    </row>
    <row r="4500" spans="1:6">
      <c r="A4500"/>
      <c r="B4500"/>
      <c r="C4500"/>
      <c r="D4500"/>
      <c r="E4500"/>
      <c r="F4500"/>
    </row>
    <row r="4501" spans="1:6">
      <c r="A4501"/>
      <c r="B4501"/>
      <c r="C4501"/>
      <c r="D4501"/>
      <c r="E4501"/>
      <c r="F4501"/>
    </row>
    <row r="4502" spans="1:6">
      <c r="A4502"/>
      <c r="B4502"/>
      <c r="C4502"/>
      <c r="D4502"/>
      <c r="E4502"/>
      <c r="F4502"/>
    </row>
    <row r="4503" spans="1:6">
      <c r="A4503"/>
      <c r="B4503"/>
      <c r="C4503"/>
      <c r="D4503"/>
      <c r="E4503"/>
      <c r="F4503"/>
    </row>
    <row r="4504" spans="1:6">
      <c r="A4504"/>
      <c r="B4504"/>
      <c r="C4504"/>
      <c r="D4504"/>
      <c r="E4504"/>
      <c r="F4504"/>
    </row>
    <row r="4505" spans="1:6">
      <c r="A4505"/>
      <c r="B4505"/>
      <c r="C4505"/>
      <c r="D4505"/>
      <c r="E4505"/>
      <c r="F4505"/>
    </row>
    <row r="4506" spans="1:6">
      <c r="A4506"/>
      <c r="B4506"/>
      <c r="C4506"/>
      <c r="D4506"/>
      <c r="E4506"/>
      <c r="F4506"/>
    </row>
    <row r="4507" spans="1:6">
      <c r="A4507"/>
      <c r="B4507"/>
      <c r="C4507"/>
      <c r="D4507"/>
      <c r="E4507"/>
      <c r="F4507"/>
    </row>
    <row r="4508" spans="1:6">
      <c r="A4508"/>
      <c r="B4508"/>
      <c r="C4508"/>
      <c r="D4508"/>
      <c r="E4508"/>
      <c r="F4508"/>
    </row>
    <row r="4509" spans="1:6">
      <c r="A4509"/>
      <c r="B4509"/>
      <c r="C4509"/>
      <c r="D4509"/>
      <c r="E4509"/>
      <c r="F4509"/>
    </row>
    <row r="4510" spans="1:6">
      <c r="A4510"/>
      <c r="B4510"/>
      <c r="C4510"/>
      <c r="D4510"/>
      <c r="E4510"/>
      <c r="F4510"/>
    </row>
    <row r="4511" spans="1:6">
      <c r="A4511"/>
      <c r="B4511"/>
      <c r="C4511"/>
      <c r="D4511"/>
      <c r="E4511"/>
      <c r="F4511"/>
    </row>
    <row r="4512" spans="1:6">
      <c r="A4512"/>
      <c r="B4512"/>
      <c r="C4512"/>
      <c r="D4512"/>
      <c r="E4512"/>
      <c r="F4512"/>
    </row>
    <row r="4513" spans="1:6">
      <c r="A4513"/>
      <c r="B4513"/>
      <c r="C4513"/>
      <c r="D4513"/>
      <c r="E4513"/>
      <c r="F4513"/>
    </row>
    <row r="4514" spans="1:6">
      <c r="A4514"/>
      <c r="B4514"/>
      <c r="C4514"/>
      <c r="D4514"/>
      <c r="E4514"/>
      <c r="F4514"/>
    </row>
    <row r="4515" spans="1:6">
      <c r="A4515"/>
      <c r="B4515"/>
      <c r="C4515"/>
      <c r="D4515"/>
      <c r="E4515"/>
      <c r="F4515"/>
    </row>
    <row r="4516" spans="1:6">
      <c r="A4516"/>
      <c r="B4516"/>
      <c r="C4516"/>
      <c r="D4516"/>
      <c r="E4516"/>
      <c r="F4516"/>
    </row>
    <row r="4517" spans="1:6">
      <c r="A4517"/>
      <c r="B4517"/>
      <c r="C4517"/>
      <c r="D4517"/>
      <c r="E4517"/>
      <c r="F4517"/>
    </row>
    <row r="4518" spans="1:6">
      <c r="A4518"/>
      <c r="B4518"/>
      <c r="C4518"/>
      <c r="D4518"/>
      <c r="E4518"/>
      <c r="F4518"/>
    </row>
    <row r="4519" spans="1:6">
      <c r="A4519"/>
      <c r="B4519"/>
      <c r="C4519"/>
      <c r="D4519"/>
      <c r="E4519"/>
      <c r="F4519"/>
    </row>
    <row r="4520" spans="1:6">
      <c r="A4520"/>
      <c r="B4520"/>
      <c r="C4520"/>
      <c r="D4520"/>
      <c r="E4520"/>
      <c r="F4520"/>
    </row>
    <row r="4521" spans="1:6">
      <c r="A4521"/>
      <c r="B4521"/>
      <c r="C4521"/>
      <c r="D4521"/>
      <c r="E4521"/>
      <c r="F4521"/>
    </row>
    <row r="4522" spans="1:6">
      <c r="A4522"/>
      <c r="B4522"/>
      <c r="C4522"/>
      <c r="D4522"/>
      <c r="E4522"/>
      <c r="F4522"/>
    </row>
    <row r="4523" spans="1:6">
      <c r="A4523"/>
      <c r="B4523"/>
      <c r="C4523"/>
      <c r="D4523"/>
      <c r="E4523"/>
      <c r="F4523"/>
    </row>
    <row r="4524" spans="1:6">
      <c r="A4524"/>
      <c r="B4524"/>
      <c r="C4524"/>
      <c r="D4524"/>
      <c r="E4524"/>
      <c r="F4524"/>
    </row>
    <row r="4525" spans="1:6">
      <c r="A4525"/>
      <c r="B4525"/>
      <c r="C4525"/>
      <c r="D4525"/>
      <c r="E4525"/>
      <c r="F4525"/>
    </row>
    <row r="4526" spans="1:6">
      <c r="A4526"/>
      <c r="B4526"/>
      <c r="C4526"/>
      <c r="D4526"/>
      <c r="E4526"/>
      <c r="F4526"/>
    </row>
    <row r="4527" spans="1:6">
      <c r="A4527"/>
      <c r="B4527"/>
      <c r="C4527"/>
      <c r="D4527"/>
      <c r="E4527"/>
      <c r="F4527"/>
    </row>
    <row r="4528" spans="1:6">
      <c r="A4528"/>
      <c r="B4528"/>
      <c r="C4528"/>
      <c r="D4528"/>
      <c r="E4528"/>
      <c r="F4528"/>
    </row>
    <row r="4529" spans="1:6">
      <c r="A4529"/>
      <c r="B4529"/>
      <c r="C4529"/>
      <c r="D4529"/>
      <c r="E4529"/>
      <c r="F4529"/>
    </row>
    <row r="4530" spans="1:6">
      <c r="A4530"/>
      <c r="B4530"/>
      <c r="C4530"/>
      <c r="D4530"/>
      <c r="E4530"/>
      <c r="F4530"/>
    </row>
    <row r="4531" spans="1:6">
      <c r="A4531"/>
      <c r="B4531"/>
      <c r="C4531"/>
      <c r="D4531"/>
      <c r="E4531"/>
      <c r="F4531"/>
    </row>
    <row r="4532" spans="1:6">
      <c r="A4532"/>
      <c r="B4532"/>
      <c r="C4532"/>
      <c r="D4532"/>
      <c r="E4532"/>
      <c r="F4532"/>
    </row>
    <row r="4533" spans="1:6">
      <c r="A4533"/>
      <c r="B4533"/>
      <c r="C4533"/>
      <c r="D4533"/>
      <c r="E4533"/>
      <c r="F4533"/>
    </row>
    <row r="4534" spans="1:6">
      <c r="A4534"/>
      <c r="B4534"/>
      <c r="C4534"/>
      <c r="D4534"/>
      <c r="E4534"/>
      <c r="F4534"/>
    </row>
    <row r="4535" spans="1:6">
      <c r="A4535"/>
      <c r="B4535"/>
      <c r="C4535"/>
      <c r="D4535"/>
      <c r="E4535"/>
      <c r="F4535"/>
    </row>
    <row r="4536" spans="1:6">
      <c r="A4536"/>
      <c r="B4536"/>
      <c r="C4536"/>
      <c r="D4536"/>
      <c r="E4536"/>
      <c r="F4536"/>
    </row>
    <row r="4537" spans="1:6">
      <c r="A4537"/>
      <c r="B4537"/>
      <c r="C4537"/>
      <c r="D4537"/>
      <c r="E4537"/>
      <c r="F4537"/>
    </row>
    <row r="4538" spans="1:6">
      <c r="A4538"/>
      <c r="B4538"/>
      <c r="C4538"/>
      <c r="D4538"/>
      <c r="E4538"/>
      <c r="F4538"/>
    </row>
    <row r="4539" spans="1:6">
      <c r="A4539"/>
      <c r="B4539"/>
      <c r="C4539"/>
      <c r="D4539"/>
      <c r="E4539"/>
      <c r="F4539"/>
    </row>
    <row r="4540" spans="1:6">
      <c r="A4540"/>
      <c r="B4540"/>
      <c r="C4540"/>
      <c r="D4540"/>
      <c r="E4540"/>
      <c r="F4540"/>
    </row>
    <row r="4541" spans="1:6">
      <c r="A4541"/>
      <c r="B4541"/>
      <c r="C4541"/>
      <c r="D4541"/>
      <c r="E4541"/>
      <c r="F4541"/>
    </row>
    <row r="4542" spans="1:6">
      <c r="A4542"/>
      <c r="B4542"/>
      <c r="C4542"/>
      <c r="D4542"/>
      <c r="E4542"/>
      <c r="F4542"/>
    </row>
    <row r="4543" spans="1:6">
      <c r="A4543"/>
      <c r="B4543"/>
      <c r="C4543"/>
      <c r="D4543"/>
      <c r="E4543"/>
      <c r="F4543"/>
    </row>
    <row r="4544" spans="1:6">
      <c r="A4544"/>
      <c r="B4544"/>
      <c r="C4544"/>
      <c r="D4544"/>
      <c r="E4544"/>
      <c r="F4544"/>
    </row>
    <row r="4545" spans="1:6">
      <c r="A4545"/>
      <c r="B4545"/>
      <c r="C4545"/>
      <c r="D4545"/>
      <c r="E4545"/>
      <c r="F4545"/>
    </row>
    <row r="4546" spans="1:6">
      <c r="A4546"/>
      <c r="B4546"/>
      <c r="C4546"/>
      <c r="D4546"/>
      <c r="E4546"/>
      <c r="F4546"/>
    </row>
    <row r="4547" spans="1:6">
      <c r="A4547"/>
      <c r="B4547"/>
      <c r="C4547"/>
      <c r="D4547"/>
      <c r="E4547"/>
      <c r="F4547"/>
    </row>
    <row r="4548" spans="1:6">
      <c r="A4548"/>
      <c r="B4548"/>
      <c r="C4548"/>
      <c r="D4548"/>
      <c r="E4548"/>
      <c r="F4548"/>
    </row>
    <row r="4549" spans="1:6">
      <c r="A4549"/>
      <c r="B4549"/>
      <c r="C4549"/>
      <c r="D4549"/>
      <c r="E4549"/>
      <c r="F4549"/>
    </row>
    <row r="4550" spans="1:6">
      <c r="A4550"/>
      <c r="B4550"/>
      <c r="C4550"/>
      <c r="D4550"/>
      <c r="E4550"/>
      <c r="F4550"/>
    </row>
    <row r="4551" spans="1:6">
      <c r="A4551"/>
      <c r="B4551"/>
      <c r="C4551"/>
      <c r="D4551"/>
      <c r="E4551"/>
      <c r="F4551"/>
    </row>
    <row r="4552" spans="1:6">
      <c r="A4552"/>
      <c r="B4552"/>
      <c r="C4552"/>
      <c r="D4552"/>
      <c r="E4552"/>
      <c r="F4552"/>
    </row>
    <row r="4553" spans="1:6">
      <c r="A4553"/>
      <c r="B4553"/>
      <c r="C4553"/>
      <c r="D4553"/>
      <c r="E4553"/>
      <c r="F4553"/>
    </row>
    <row r="4554" spans="1:6">
      <c r="A4554"/>
      <c r="B4554"/>
      <c r="C4554"/>
      <c r="D4554"/>
      <c r="E4554"/>
      <c r="F4554"/>
    </row>
    <row r="4555" spans="1:6">
      <c r="A4555"/>
      <c r="B4555"/>
      <c r="C4555"/>
      <c r="D4555"/>
      <c r="E4555"/>
      <c r="F4555"/>
    </row>
    <row r="4556" spans="1:6">
      <c r="A4556"/>
      <c r="B4556"/>
      <c r="C4556"/>
      <c r="D4556"/>
      <c r="E4556"/>
      <c r="F4556"/>
    </row>
    <row r="4557" spans="1:6">
      <c r="A4557"/>
      <c r="B4557"/>
      <c r="C4557"/>
      <c r="D4557"/>
      <c r="E4557"/>
      <c r="F4557"/>
    </row>
    <row r="4558" spans="1:6">
      <c r="A4558"/>
      <c r="B4558"/>
      <c r="C4558"/>
      <c r="D4558"/>
      <c r="E4558"/>
      <c r="F4558"/>
    </row>
    <row r="4559" spans="1:6">
      <c r="A4559"/>
      <c r="B4559"/>
      <c r="C4559"/>
      <c r="D4559"/>
      <c r="E4559"/>
      <c r="F4559"/>
    </row>
    <row r="4560" spans="1:6">
      <c r="A4560"/>
      <c r="B4560"/>
      <c r="C4560"/>
      <c r="D4560"/>
      <c r="E4560"/>
      <c r="F4560"/>
    </row>
    <row r="4561" spans="1:6">
      <c r="A4561"/>
      <c r="B4561"/>
      <c r="C4561"/>
      <c r="D4561"/>
      <c r="E4561"/>
      <c r="F4561"/>
    </row>
    <row r="4562" spans="1:6">
      <c r="A4562"/>
      <c r="B4562"/>
      <c r="C4562"/>
      <c r="D4562"/>
      <c r="E4562"/>
      <c r="F4562"/>
    </row>
    <row r="4563" spans="1:6">
      <c r="A4563"/>
      <c r="B4563"/>
      <c r="C4563"/>
      <c r="D4563"/>
      <c r="E4563"/>
      <c r="F4563"/>
    </row>
    <row r="4564" spans="1:6">
      <c r="A4564"/>
      <c r="B4564"/>
      <c r="C4564"/>
      <c r="D4564"/>
      <c r="E4564"/>
      <c r="F4564"/>
    </row>
    <row r="4565" spans="1:6">
      <c r="A4565"/>
      <c r="B4565"/>
      <c r="C4565"/>
      <c r="D4565"/>
      <c r="E4565"/>
      <c r="F4565"/>
    </row>
    <row r="4566" spans="1:6">
      <c r="A4566"/>
      <c r="B4566"/>
      <c r="C4566"/>
      <c r="D4566"/>
      <c r="E4566"/>
      <c r="F4566"/>
    </row>
    <row r="4567" spans="1:6">
      <c r="A4567"/>
      <c r="B4567"/>
      <c r="C4567"/>
      <c r="D4567"/>
      <c r="E4567"/>
      <c r="F4567"/>
    </row>
    <row r="4568" spans="1:6">
      <c r="A4568"/>
      <c r="B4568"/>
      <c r="C4568"/>
      <c r="D4568"/>
      <c r="E4568"/>
      <c r="F4568"/>
    </row>
    <row r="4569" spans="1:6">
      <c r="A4569"/>
      <c r="B4569"/>
      <c r="C4569"/>
      <c r="D4569"/>
      <c r="E4569"/>
      <c r="F4569"/>
    </row>
    <row r="4570" spans="1:6">
      <c r="A4570"/>
      <c r="B4570"/>
      <c r="C4570"/>
      <c r="D4570"/>
      <c r="E4570"/>
      <c r="F4570"/>
    </row>
    <row r="4571" spans="1:6">
      <c r="A4571"/>
      <c r="B4571"/>
      <c r="C4571"/>
      <c r="D4571"/>
      <c r="E4571"/>
      <c r="F4571"/>
    </row>
    <row r="4572" spans="1:6">
      <c r="A4572"/>
      <c r="B4572"/>
      <c r="C4572"/>
      <c r="D4572"/>
      <c r="E4572"/>
      <c r="F4572"/>
    </row>
    <row r="4573" spans="1:6">
      <c r="A4573"/>
      <c r="B4573"/>
      <c r="C4573"/>
      <c r="D4573"/>
      <c r="E4573"/>
      <c r="F4573"/>
    </row>
    <row r="4574" spans="1:6">
      <c r="A4574"/>
      <c r="B4574"/>
      <c r="C4574"/>
      <c r="D4574"/>
      <c r="E4574"/>
      <c r="F4574"/>
    </row>
    <row r="4575" spans="1:6">
      <c r="A4575"/>
      <c r="B4575"/>
      <c r="C4575"/>
      <c r="D4575"/>
      <c r="E4575"/>
      <c r="F4575"/>
    </row>
    <row r="4576" spans="1:6">
      <c r="A4576"/>
      <c r="B4576"/>
      <c r="C4576"/>
      <c r="D4576"/>
      <c r="E4576"/>
      <c r="F4576"/>
    </row>
    <row r="4577" spans="1:6">
      <c r="A4577"/>
      <c r="B4577"/>
      <c r="C4577"/>
      <c r="D4577"/>
      <c r="E4577"/>
      <c r="F4577"/>
    </row>
    <row r="4578" spans="1:6">
      <c r="A4578"/>
      <c r="B4578"/>
      <c r="C4578"/>
      <c r="D4578"/>
      <c r="E4578"/>
      <c r="F4578"/>
    </row>
    <row r="4579" spans="1:6">
      <c r="A4579"/>
      <c r="B4579"/>
      <c r="C4579"/>
      <c r="D4579"/>
      <c r="E4579"/>
      <c r="F4579"/>
    </row>
    <row r="4580" spans="1:6">
      <c r="A4580"/>
      <c r="B4580"/>
      <c r="C4580"/>
      <c r="D4580"/>
      <c r="E4580"/>
      <c r="F4580"/>
    </row>
    <row r="4581" spans="1:6">
      <c r="A4581"/>
      <c r="B4581"/>
      <c r="C4581"/>
      <c r="D4581"/>
      <c r="E4581"/>
      <c r="F4581"/>
    </row>
    <row r="4582" spans="1:6">
      <c r="A4582"/>
      <c r="B4582"/>
      <c r="C4582"/>
      <c r="D4582"/>
      <c r="E4582"/>
      <c r="F4582"/>
    </row>
    <row r="4583" spans="1:6">
      <c r="A4583"/>
      <c r="B4583"/>
      <c r="C4583"/>
      <c r="D4583"/>
      <c r="E4583"/>
      <c r="F4583"/>
    </row>
    <row r="4584" spans="1:6">
      <c r="A4584"/>
      <c r="B4584"/>
      <c r="C4584"/>
      <c r="D4584"/>
      <c r="E4584"/>
      <c r="F4584"/>
    </row>
    <row r="4585" spans="1:6">
      <c r="A4585"/>
      <c r="B4585"/>
      <c r="C4585"/>
      <c r="D4585"/>
      <c r="E4585"/>
      <c r="F4585"/>
    </row>
    <row r="4586" spans="1:6">
      <c r="A4586"/>
      <c r="B4586"/>
      <c r="C4586"/>
      <c r="D4586"/>
      <c r="E4586"/>
      <c r="F4586"/>
    </row>
    <row r="4587" spans="1:6">
      <c r="A4587"/>
      <c r="B4587"/>
      <c r="C4587"/>
      <c r="D4587"/>
      <c r="E4587"/>
      <c r="F4587"/>
    </row>
    <row r="4588" spans="1:6">
      <c r="A4588"/>
      <c r="B4588"/>
      <c r="C4588"/>
      <c r="D4588"/>
      <c r="E4588"/>
      <c r="F4588"/>
    </row>
    <row r="4589" spans="1:6">
      <c r="A4589"/>
      <c r="B4589"/>
      <c r="C4589"/>
      <c r="D4589"/>
      <c r="E4589"/>
      <c r="F4589"/>
    </row>
    <row r="4590" spans="1:6">
      <c r="A4590"/>
      <c r="B4590"/>
      <c r="C4590"/>
      <c r="D4590"/>
      <c r="E4590"/>
      <c r="F4590"/>
    </row>
    <row r="4591" spans="1:6">
      <c r="A4591"/>
      <c r="B4591"/>
      <c r="C4591"/>
      <c r="D4591"/>
      <c r="E4591"/>
      <c r="F4591"/>
    </row>
    <row r="4592" spans="1:6">
      <c r="A4592"/>
      <c r="B4592"/>
      <c r="C4592"/>
      <c r="D4592"/>
      <c r="E4592"/>
      <c r="F4592"/>
    </row>
    <row r="4593" spans="1:6">
      <c r="A4593"/>
      <c r="B4593"/>
      <c r="C4593"/>
      <c r="D4593"/>
      <c r="E4593"/>
      <c r="F4593"/>
    </row>
    <row r="4594" spans="1:6">
      <c r="A4594"/>
      <c r="B4594"/>
      <c r="C4594"/>
      <c r="D4594"/>
      <c r="E4594"/>
      <c r="F4594"/>
    </row>
    <row r="4595" spans="1:6">
      <c r="A4595"/>
      <c r="B4595"/>
      <c r="C4595"/>
      <c r="D4595"/>
      <c r="E4595"/>
      <c r="F4595"/>
    </row>
    <row r="4596" spans="1:6">
      <c r="A4596"/>
      <c r="B4596"/>
      <c r="C4596"/>
      <c r="D4596"/>
      <c r="E4596"/>
      <c r="F4596"/>
    </row>
    <row r="4597" spans="1:6">
      <c r="A4597"/>
      <c r="B4597"/>
      <c r="C4597"/>
      <c r="D4597"/>
      <c r="E4597"/>
      <c r="F4597"/>
    </row>
    <row r="4598" spans="1:6">
      <c r="A4598"/>
      <c r="B4598"/>
      <c r="C4598"/>
      <c r="D4598"/>
      <c r="E4598"/>
      <c r="F4598"/>
    </row>
    <row r="4599" spans="1:6">
      <c r="A4599"/>
      <c r="B4599"/>
      <c r="C4599"/>
      <c r="D4599"/>
      <c r="E4599"/>
      <c r="F4599"/>
    </row>
    <row r="4600" spans="1:6">
      <c r="A4600"/>
      <c r="B4600"/>
      <c r="C4600"/>
      <c r="D4600"/>
      <c r="E4600"/>
      <c r="F4600"/>
    </row>
    <row r="4601" spans="1:6">
      <c r="A4601"/>
      <c r="B4601"/>
      <c r="C4601"/>
      <c r="D4601"/>
      <c r="E4601"/>
      <c r="F4601"/>
    </row>
    <row r="4602" spans="1:6">
      <c r="A4602"/>
      <c r="B4602"/>
      <c r="C4602"/>
      <c r="D4602"/>
      <c r="E4602"/>
      <c r="F4602"/>
    </row>
    <row r="4603" spans="1:6">
      <c r="A4603"/>
      <c r="B4603"/>
      <c r="C4603"/>
      <c r="D4603"/>
      <c r="E4603"/>
      <c r="F4603"/>
    </row>
    <row r="4604" spans="1:6">
      <c r="A4604"/>
      <c r="B4604"/>
      <c r="C4604"/>
      <c r="D4604"/>
      <c r="E4604"/>
      <c r="F4604"/>
    </row>
    <row r="4605" spans="1:6">
      <c r="A4605"/>
      <c r="B4605"/>
      <c r="C4605"/>
      <c r="D4605"/>
      <c r="E4605"/>
      <c r="F4605"/>
    </row>
    <row r="4606" spans="1:6">
      <c r="A4606"/>
      <c r="B4606"/>
      <c r="C4606"/>
      <c r="D4606"/>
      <c r="E4606"/>
      <c r="F4606"/>
    </row>
    <row r="4607" spans="1:6">
      <c r="A4607"/>
      <c r="B4607"/>
      <c r="C4607"/>
      <c r="D4607"/>
      <c r="E4607"/>
      <c r="F4607"/>
    </row>
    <row r="4608" spans="1:6">
      <c r="A4608"/>
      <c r="B4608"/>
      <c r="C4608"/>
      <c r="D4608"/>
      <c r="E4608"/>
      <c r="F4608"/>
    </row>
    <row r="4609" spans="1:6">
      <c r="A4609"/>
      <c r="B4609"/>
      <c r="C4609"/>
      <c r="D4609"/>
      <c r="E4609"/>
      <c r="F4609"/>
    </row>
    <row r="4610" spans="1:6">
      <c r="A4610"/>
      <c r="B4610"/>
      <c r="C4610"/>
      <c r="D4610"/>
      <c r="E4610"/>
      <c r="F4610"/>
    </row>
    <row r="4611" spans="1:6">
      <c r="A4611"/>
      <c r="B4611"/>
      <c r="C4611"/>
      <c r="D4611"/>
      <c r="E4611"/>
      <c r="F4611"/>
    </row>
    <row r="4612" spans="1:6">
      <c r="A4612"/>
      <c r="B4612"/>
      <c r="C4612"/>
      <c r="D4612"/>
      <c r="E4612"/>
      <c r="F4612"/>
    </row>
    <row r="4613" spans="1:6">
      <c r="A4613"/>
      <c r="B4613"/>
      <c r="C4613"/>
      <c r="D4613"/>
      <c r="E4613"/>
      <c r="F4613"/>
    </row>
    <row r="4614" spans="1:6">
      <c r="A4614"/>
      <c r="B4614"/>
      <c r="C4614"/>
      <c r="D4614"/>
      <c r="E4614"/>
      <c r="F4614"/>
    </row>
    <row r="4615" spans="1:6">
      <c r="A4615"/>
      <c r="B4615"/>
      <c r="C4615"/>
      <c r="D4615"/>
      <c r="E4615"/>
      <c r="F4615"/>
    </row>
    <row r="4616" spans="1:6">
      <c r="A4616"/>
      <c r="B4616"/>
      <c r="C4616"/>
      <c r="D4616"/>
      <c r="E4616"/>
      <c r="F4616"/>
    </row>
    <row r="4617" spans="1:6">
      <c r="A4617"/>
      <c r="B4617"/>
      <c r="C4617"/>
      <c r="D4617"/>
      <c r="E4617"/>
      <c r="F4617"/>
    </row>
    <row r="4618" spans="1:6">
      <c r="A4618"/>
      <c r="B4618"/>
      <c r="C4618"/>
      <c r="D4618"/>
      <c r="E4618"/>
      <c r="F4618"/>
    </row>
    <row r="4619" spans="1:6">
      <c r="A4619"/>
      <c r="B4619"/>
      <c r="C4619"/>
      <c r="D4619"/>
      <c r="E4619"/>
      <c r="F4619"/>
    </row>
    <row r="4620" spans="1:6">
      <c r="A4620"/>
      <c r="B4620"/>
      <c r="C4620"/>
      <c r="D4620"/>
      <c r="E4620"/>
      <c r="F4620"/>
    </row>
    <row r="4621" spans="1:6">
      <c r="A4621"/>
      <c r="B4621"/>
      <c r="C4621"/>
      <c r="D4621"/>
      <c r="E4621"/>
      <c r="F4621"/>
    </row>
    <row r="4622" spans="1:6">
      <c r="A4622"/>
      <c r="B4622"/>
      <c r="C4622"/>
      <c r="D4622"/>
      <c r="E4622"/>
      <c r="F4622"/>
    </row>
    <row r="4623" spans="1:6">
      <c r="A4623"/>
      <c r="B4623"/>
      <c r="C4623"/>
      <c r="D4623"/>
      <c r="E4623"/>
      <c r="F4623"/>
    </row>
    <row r="4624" spans="1:6">
      <c r="A4624"/>
      <c r="B4624"/>
      <c r="C4624"/>
      <c r="D4624"/>
      <c r="E4624"/>
      <c r="F4624"/>
    </row>
    <row r="4625" spans="1:6">
      <c r="A4625"/>
      <c r="B4625"/>
      <c r="C4625"/>
      <c r="D4625"/>
      <c r="E4625"/>
      <c r="F4625"/>
    </row>
    <row r="4626" spans="1:6">
      <c r="A4626"/>
      <c r="B4626"/>
      <c r="C4626"/>
      <c r="D4626"/>
      <c r="E4626"/>
      <c r="F4626"/>
    </row>
    <row r="4627" spans="1:6">
      <c r="A4627"/>
      <c r="B4627"/>
      <c r="C4627"/>
      <c r="D4627"/>
      <c r="E4627"/>
      <c r="F4627"/>
    </row>
    <row r="4628" spans="1:6">
      <c r="A4628"/>
      <c r="B4628"/>
      <c r="C4628"/>
      <c r="D4628"/>
      <c r="E4628"/>
      <c r="F4628"/>
    </row>
    <row r="4629" spans="1:6">
      <c r="A4629"/>
      <c r="B4629"/>
      <c r="C4629"/>
      <c r="D4629"/>
      <c r="E4629"/>
      <c r="F4629"/>
    </row>
    <row r="4630" spans="1:6">
      <c r="A4630"/>
      <c r="B4630"/>
      <c r="C4630"/>
      <c r="D4630"/>
      <c r="E4630"/>
      <c r="F4630"/>
    </row>
    <row r="4631" spans="1:6">
      <c r="A4631"/>
      <c r="B4631"/>
      <c r="C4631"/>
      <c r="D4631"/>
      <c r="E4631"/>
      <c r="F4631"/>
    </row>
    <row r="4632" spans="1:6">
      <c r="A4632"/>
      <c r="B4632"/>
      <c r="C4632"/>
      <c r="D4632"/>
      <c r="E4632"/>
      <c r="F4632"/>
    </row>
    <row r="4633" spans="1:6">
      <c r="A4633"/>
      <c r="B4633"/>
      <c r="C4633"/>
      <c r="D4633"/>
      <c r="E4633"/>
      <c r="F4633"/>
    </row>
    <row r="4634" spans="1:6">
      <c r="A4634"/>
      <c r="B4634"/>
      <c r="C4634"/>
      <c r="D4634"/>
      <c r="E4634"/>
      <c r="F4634"/>
    </row>
    <row r="4635" spans="1:6">
      <c r="A4635"/>
      <c r="B4635"/>
      <c r="C4635"/>
      <c r="D4635"/>
      <c r="E4635"/>
      <c r="F4635"/>
    </row>
    <row r="4636" spans="1:6">
      <c r="A4636"/>
      <c r="B4636"/>
      <c r="C4636"/>
      <c r="D4636"/>
      <c r="E4636"/>
      <c r="F4636"/>
    </row>
    <row r="4637" spans="1:6">
      <c r="A4637"/>
      <c r="B4637"/>
      <c r="C4637"/>
      <c r="D4637"/>
      <c r="E4637"/>
      <c r="F4637"/>
    </row>
    <row r="4638" spans="1:6">
      <c r="A4638"/>
      <c r="B4638"/>
      <c r="C4638"/>
      <c r="D4638"/>
      <c r="E4638"/>
      <c r="F4638"/>
    </row>
    <row r="4639" spans="1:6">
      <c r="A4639"/>
      <c r="B4639"/>
      <c r="C4639"/>
      <c r="D4639"/>
      <c r="E4639"/>
      <c r="F4639"/>
    </row>
    <row r="4640" spans="1:6">
      <c r="A4640"/>
      <c r="B4640"/>
      <c r="C4640"/>
      <c r="D4640"/>
      <c r="E4640"/>
      <c r="F4640"/>
    </row>
    <row r="4641" spans="1:6">
      <c r="A4641"/>
      <c r="B4641"/>
      <c r="C4641"/>
      <c r="D4641"/>
      <c r="E4641"/>
      <c r="F4641"/>
    </row>
    <row r="4642" spans="1:6">
      <c r="A4642"/>
      <c r="B4642"/>
      <c r="C4642"/>
      <c r="D4642"/>
      <c r="E4642"/>
      <c r="F4642"/>
    </row>
    <row r="4643" spans="1:6">
      <c r="A4643"/>
      <c r="B4643"/>
      <c r="C4643"/>
      <c r="D4643"/>
      <c r="E4643"/>
      <c r="F4643"/>
    </row>
    <row r="4644" spans="1:6">
      <c r="A4644"/>
      <c r="B4644"/>
      <c r="C4644"/>
      <c r="D4644"/>
      <c r="E4644"/>
      <c r="F4644"/>
    </row>
    <row r="4645" spans="1:6">
      <c r="A4645"/>
      <c r="B4645"/>
      <c r="C4645"/>
      <c r="D4645"/>
      <c r="E4645"/>
      <c r="F4645"/>
    </row>
    <row r="4646" spans="1:6">
      <c r="A4646"/>
      <c r="B4646"/>
      <c r="C4646"/>
      <c r="D4646"/>
      <c r="E4646"/>
      <c r="F4646"/>
    </row>
    <row r="4647" spans="1:6">
      <c r="A4647"/>
      <c r="B4647"/>
      <c r="C4647"/>
      <c r="D4647"/>
      <c r="E4647"/>
      <c r="F4647"/>
    </row>
    <row r="4648" spans="1:6">
      <c r="A4648"/>
      <c r="B4648"/>
      <c r="C4648"/>
      <c r="D4648"/>
      <c r="E4648"/>
      <c r="F4648"/>
    </row>
    <row r="4649" spans="1:6">
      <c r="A4649"/>
      <c r="B4649"/>
      <c r="C4649"/>
      <c r="D4649"/>
      <c r="E4649"/>
      <c r="F4649"/>
    </row>
    <row r="4650" spans="1:6">
      <c r="A4650"/>
      <c r="B4650"/>
      <c r="C4650"/>
      <c r="D4650"/>
      <c r="E4650"/>
      <c r="F4650"/>
    </row>
    <row r="4651" spans="1:6">
      <c r="A4651"/>
      <c r="B4651"/>
      <c r="C4651"/>
      <c r="D4651"/>
      <c r="E4651"/>
      <c r="F4651"/>
    </row>
    <row r="4652" spans="1:6">
      <c r="A4652"/>
      <c r="B4652"/>
      <c r="C4652"/>
      <c r="D4652"/>
      <c r="E4652"/>
      <c r="F4652"/>
    </row>
    <row r="4653" spans="1:6">
      <c r="A4653"/>
      <c r="B4653"/>
      <c r="C4653"/>
      <c r="D4653"/>
      <c r="E4653"/>
      <c r="F4653"/>
    </row>
    <row r="4654" spans="1:6">
      <c r="A4654"/>
      <c r="B4654"/>
      <c r="C4654"/>
      <c r="D4654"/>
      <c r="E4654"/>
      <c r="F4654"/>
    </row>
    <row r="4655" spans="1:6">
      <c r="A4655"/>
      <c r="B4655"/>
      <c r="C4655"/>
      <c r="D4655"/>
      <c r="E4655"/>
      <c r="F4655"/>
    </row>
    <row r="4656" spans="1:6">
      <c r="A4656"/>
      <c r="B4656"/>
      <c r="C4656"/>
      <c r="D4656"/>
      <c r="E4656"/>
      <c r="F4656"/>
    </row>
    <row r="4657" spans="1:6">
      <c r="A4657"/>
      <c r="B4657"/>
      <c r="C4657"/>
      <c r="D4657"/>
      <c r="E4657"/>
      <c r="F4657"/>
    </row>
    <row r="4658" spans="1:6">
      <c r="A4658"/>
      <c r="B4658"/>
      <c r="C4658"/>
      <c r="D4658"/>
      <c r="E4658"/>
      <c r="F4658"/>
    </row>
    <row r="4659" spans="1:6">
      <c r="A4659"/>
      <c r="B4659"/>
      <c r="C4659"/>
      <c r="D4659"/>
      <c r="E4659"/>
      <c r="F4659"/>
    </row>
    <row r="4660" spans="1:6">
      <c r="A4660"/>
      <c r="B4660"/>
      <c r="C4660"/>
      <c r="D4660"/>
      <c r="E4660"/>
      <c r="F4660"/>
    </row>
    <row r="65462" s="51" customFormat="1"/>
    <row r="65463" s="51" customFormat="1"/>
    <row r="65464" s="51" customFormat="1"/>
    <row r="65465" s="51" customFormat="1"/>
    <row r="65466" s="51" customFormat="1"/>
    <row r="65467" s="51" customFormat="1"/>
    <row r="65468" s="51" customFormat="1"/>
    <row r="65469" s="51" customFormat="1"/>
    <row r="65470" s="51" customFormat="1"/>
    <row r="65471" s="51" customFormat="1"/>
    <row r="65472" s="51" customFormat="1"/>
    <row r="65473" s="51" customFormat="1"/>
    <row r="65474" s="51" customFormat="1"/>
    <row r="65475" s="51" customFormat="1"/>
    <row r="65476" s="51" customFormat="1"/>
  </sheetData>
  <autoFilter xmlns:etc="http://www.wps.cn/officeDocument/2017/etCustomData" ref="A1:F65476" etc:filterBottomFollowUsedRange="0">
    <extLst/>
  </autoFilter>
  <dataValidations count="1">
    <dataValidation type="list" allowBlank="1" showInputMessage="1" showErrorMessage="1" sqref="D1423:D1437">
      <formula1>"闲置,已报废,待报废,老化,良好"</formula1>
    </dataValidation>
  </dataValidations>
  <pageMargins left="0.75" right="0.75" top="1" bottom="1" header="0.5" footer="0.5"/>
  <pageSetup paperSize="256" scale="7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5"/>
  <sheetViews>
    <sheetView zoomScale="85" zoomScaleNormal="85" workbookViewId="0">
      <selection activeCell="A986" sqref="$A986:$XFD986"/>
    </sheetView>
  </sheetViews>
  <sheetFormatPr defaultColWidth="39.875" defaultRowHeight="13.5" outlineLevelCol="6"/>
  <cols>
    <col min="1" max="1" width="26.6333333333333" style="42" customWidth="1"/>
    <col min="2" max="2" width="17.7583333333333" style="43" customWidth="1"/>
    <col min="3" max="3" width="26.7583333333333" style="42" customWidth="1"/>
    <col min="4" max="4" width="13.575" style="44" customWidth="1"/>
    <col min="5" max="5" width="16.3583333333333" style="44" customWidth="1"/>
    <col min="6" max="29" width="30.2583333333333" style="45" customWidth="1"/>
    <col min="30" max="30" width="39.875" style="45" customWidth="1"/>
    <col min="31" max="16384" width="39.875" style="45"/>
  </cols>
  <sheetData>
    <row r="1" spans="1:5">
      <c r="A1" s="30" t="s">
        <v>0</v>
      </c>
      <c r="B1" s="44" t="s">
        <v>1</v>
      </c>
      <c r="C1" s="44" t="s">
        <v>2</v>
      </c>
      <c r="D1" s="44" t="s">
        <v>3</v>
      </c>
      <c r="E1" s="44" t="s">
        <v>4</v>
      </c>
    </row>
    <row r="2" spans="1:5">
      <c r="A2" s="43" t="s">
        <v>3538</v>
      </c>
      <c r="C2" s="42" t="s">
        <v>3539</v>
      </c>
      <c r="E2" s="44">
        <v>1</v>
      </c>
    </row>
    <row r="3" spans="1:5">
      <c r="A3" s="43" t="s">
        <v>3538</v>
      </c>
      <c r="C3" s="42" t="s">
        <v>3539</v>
      </c>
      <c r="D3" s="44" t="s">
        <v>7</v>
      </c>
      <c r="E3" s="44">
        <v>1</v>
      </c>
    </row>
    <row r="4" spans="1:5">
      <c r="A4" s="43" t="s">
        <v>3538</v>
      </c>
      <c r="B4" s="43" t="s">
        <v>3540</v>
      </c>
      <c r="C4" s="42" t="s">
        <v>3541</v>
      </c>
      <c r="D4" s="44" t="s">
        <v>7</v>
      </c>
      <c r="E4" s="44">
        <v>1</v>
      </c>
    </row>
    <row r="5" spans="1:5">
      <c r="A5" s="43" t="s">
        <v>3538</v>
      </c>
      <c r="B5" s="43" t="s">
        <v>3542</v>
      </c>
      <c r="C5" s="42" t="s">
        <v>3543</v>
      </c>
      <c r="D5" s="44" t="s">
        <v>7</v>
      </c>
      <c r="E5" s="44">
        <v>1</v>
      </c>
    </row>
    <row r="6" spans="1:5">
      <c r="A6" s="43" t="s">
        <v>3538</v>
      </c>
      <c r="B6" s="43" t="s">
        <v>3544</v>
      </c>
      <c r="C6" s="42" t="s">
        <v>3545</v>
      </c>
      <c r="D6" s="44" t="s">
        <v>7</v>
      </c>
      <c r="E6" s="44">
        <v>1</v>
      </c>
    </row>
    <row r="7" spans="1:5">
      <c r="A7" s="43" t="s">
        <v>3538</v>
      </c>
      <c r="B7" s="43" t="s">
        <v>3546</v>
      </c>
      <c r="C7" s="42" t="s">
        <v>2528</v>
      </c>
      <c r="D7" s="44" t="s">
        <v>7</v>
      </c>
      <c r="E7" s="44">
        <v>1</v>
      </c>
    </row>
    <row r="8" spans="1:5">
      <c r="A8" s="43" t="s">
        <v>3538</v>
      </c>
      <c r="B8" s="43" t="s">
        <v>3547</v>
      </c>
      <c r="C8" s="42" t="s">
        <v>2478</v>
      </c>
      <c r="D8" s="44" t="s">
        <v>7</v>
      </c>
      <c r="E8" s="44">
        <v>1</v>
      </c>
    </row>
    <row r="9" spans="1:5">
      <c r="A9" s="43" t="s">
        <v>3538</v>
      </c>
      <c r="B9" s="43" t="s">
        <v>3548</v>
      </c>
      <c r="C9" s="42" t="s">
        <v>3549</v>
      </c>
      <c r="D9" s="44" t="s">
        <v>7</v>
      </c>
      <c r="E9" s="44">
        <v>1</v>
      </c>
    </row>
    <row r="10" spans="1:5">
      <c r="A10" s="43" t="s">
        <v>3538</v>
      </c>
      <c r="B10" s="43" t="s">
        <v>3550</v>
      </c>
      <c r="C10" s="42" t="s">
        <v>3551</v>
      </c>
      <c r="D10" s="44" t="s">
        <v>7</v>
      </c>
      <c r="E10" s="44">
        <v>1</v>
      </c>
    </row>
    <row r="11" spans="1:5">
      <c r="A11" s="43" t="s">
        <v>3538</v>
      </c>
      <c r="B11" s="43" t="s">
        <v>3552</v>
      </c>
      <c r="C11" s="42" t="s">
        <v>3553</v>
      </c>
      <c r="D11" s="44" t="s">
        <v>7</v>
      </c>
      <c r="E11" s="44">
        <v>1</v>
      </c>
    </row>
    <row r="12" spans="1:5">
      <c r="A12" s="43" t="s">
        <v>3538</v>
      </c>
      <c r="B12" s="43" t="s">
        <v>3554</v>
      </c>
      <c r="C12" s="42" t="s">
        <v>3553</v>
      </c>
      <c r="D12" s="44" t="s">
        <v>7</v>
      </c>
      <c r="E12" s="44">
        <v>1</v>
      </c>
    </row>
    <row r="13" spans="1:5">
      <c r="A13" s="43" t="s">
        <v>3538</v>
      </c>
      <c r="B13" s="43" t="s">
        <v>3555</v>
      </c>
      <c r="C13" s="42" t="s">
        <v>362</v>
      </c>
      <c r="D13" s="44" t="s">
        <v>7</v>
      </c>
      <c r="E13" s="44">
        <v>1</v>
      </c>
    </row>
    <row r="14" spans="1:5">
      <c r="A14" s="43" t="s">
        <v>3538</v>
      </c>
      <c r="B14" s="43" t="s">
        <v>3556</v>
      </c>
      <c r="C14" s="42" t="s">
        <v>3557</v>
      </c>
      <c r="D14" s="44" t="s">
        <v>7</v>
      </c>
      <c r="E14" s="44">
        <v>1</v>
      </c>
    </row>
    <row r="15" spans="1:5">
      <c r="A15" s="43" t="s">
        <v>3538</v>
      </c>
      <c r="B15" s="43" t="s">
        <v>3558</v>
      </c>
      <c r="C15" s="42" t="s">
        <v>3559</v>
      </c>
      <c r="D15" s="44" t="s">
        <v>7</v>
      </c>
      <c r="E15" s="44">
        <v>1</v>
      </c>
    </row>
    <row r="16" spans="1:5">
      <c r="A16" s="43" t="s">
        <v>3538</v>
      </c>
      <c r="B16" s="43" t="s">
        <v>3560</v>
      </c>
      <c r="C16" s="42" t="s">
        <v>3561</v>
      </c>
      <c r="D16" s="44" t="s">
        <v>7</v>
      </c>
      <c r="E16" s="44">
        <v>1</v>
      </c>
    </row>
    <row r="17" spans="1:5">
      <c r="A17" s="43" t="s">
        <v>3538</v>
      </c>
      <c r="B17" s="43" t="s">
        <v>3562</v>
      </c>
      <c r="C17" s="42" t="s">
        <v>3561</v>
      </c>
      <c r="D17" s="44" t="s">
        <v>7</v>
      </c>
      <c r="E17" s="44">
        <v>1</v>
      </c>
    </row>
    <row r="18" spans="1:5">
      <c r="A18" s="43" t="s">
        <v>3538</v>
      </c>
      <c r="B18" s="43" t="s">
        <v>3563</v>
      </c>
      <c r="C18" s="42" t="s">
        <v>903</v>
      </c>
      <c r="D18" s="44" t="s">
        <v>7</v>
      </c>
      <c r="E18" s="44">
        <v>1</v>
      </c>
    </row>
    <row r="19" spans="1:5">
      <c r="A19" s="43" t="s">
        <v>3538</v>
      </c>
      <c r="B19" s="43" t="s">
        <v>3564</v>
      </c>
      <c r="C19" s="42" t="s">
        <v>3565</v>
      </c>
      <c r="D19" s="44" t="s">
        <v>7</v>
      </c>
      <c r="E19" s="44">
        <v>1</v>
      </c>
    </row>
    <row r="20" spans="1:5">
      <c r="A20" s="43" t="s">
        <v>3538</v>
      </c>
      <c r="B20" s="43" t="s">
        <v>3566</v>
      </c>
      <c r="C20" s="42" t="s">
        <v>2534</v>
      </c>
      <c r="D20" s="44" t="s">
        <v>7</v>
      </c>
      <c r="E20" s="44">
        <v>1</v>
      </c>
    </row>
    <row r="21" spans="1:5">
      <c r="A21" s="43" t="s">
        <v>3538</v>
      </c>
      <c r="B21" s="43" t="s">
        <v>3567</v>
      </c>
      <c r="C21" s="42" t="s">
        <v>3568</v>
      </c>
      <c r="D21" s="44" t="s">
        <v>7</v>
      </c>
      <c r="E21" s="44">
        <v>1</v>
      </c>
    </row>
    <row r="22" spans="1:5">
      <c r="A22" s="43" t="s">
        <v>3538</v>
      </c>
      <c r="B22" s="43" t="s">
        <v>3569</v>
      </c>
      <c r="C22" s="42" t="s">
        <v>3570</v>
      </c>
      <c r="D22" s="44" t="s">
        <v>7</v>
      </c>
      <c r="E22" s="44">
        <v>1</v>
      </c>
    </row>
    <row r="23" spans="1:5">
      <c r="A23" s="43" t="s">
        <v>3538</v>
      </c>
      <c r="B23" s="43" t="s">
        <v>3571</v>
      </c>
      <c r="C23" s="42" t="s">
        <v>182</v>
      </c>
      <c r="D23" s="44" t="s">
        <v>7</v>
      </c>
      <c r="E23" s="44">
        <v>1</v>
      </c>
    </row>
    <row r="24" spans="1:5">
      <c r="A24" s="43" t="s">
        <v>3538</v>
      </c>
      <c r="B24" s="43" t="s">
        <v>3572</v>
      </c>
      <c r="C24" s="42" t="s">
        <v>169</v>
      </c>
      <c r="D24" s="44" t="s">
        <v>7</v>
      </c>
      <c r="E24" s="44">
        <v>1</v>
      </c>
    </row>
    <row r="25" spans="1:5">
      <c r="A25" s="43" t="s">
        <v>3538</v>
      </c>
      <c r="B25" s="43" t="s">
        <v>3573</v>
      </c>
      <c r="C25" s="42" t="s">
        <v>3574</v>
      </c>
      <c r="D25" s="44" t="s">
        <v>7</v>
      </c>
      <c r="E25" s="44">
        <v>1</v>
      </c>
    </row>
    <row r="26" spans="1:5">
      <c r="A26" s="43" t="s">
        <v>3538</v>
      </c>
      <c r="B26" s="43" t="s">
        <v>3575</v>
      </c>
      <c r="C26" s="42" t="s">
        <v>1669</v>
      </c>
      <c r="D26" s="44" t="s">
        <v>7</v>
      </c>
      <c r="E26" s="44">
        <v>1</v>
      </c>
    </row>
    <row r="27" spans="1:5">
      <c r="A27" s="43" t="s">
        <v>3538</v>
      </c>
      <c r="B27" s="43" t="s">
        <v>3576</v>
      </c>
      <c r="C27" s="42" t="s">
        <v>3577</v>
      </c>
      <c r="D27" s="44" t="s">
        <v>7</v>
      </c>
      <c r="E27" s="44">
        <v>1</v>
      </c>
    </row>
    <row r="28" spans="1:5">
      <c r="A28" s="43" t="s">
        <v>3538</v>
      </c>
      <c r="B28" s="43" t="s">
        <v>3578</v>
      </c>
      <c r="C28" s="42" t="s">
        <v>96</v>
      </c>
      <c r="D28" s="44" t="s">
        <v>7</v>
      </c>
      <c r="E28" s="44">
        <v>1</v>
      </c>
    </row>
    <row r="29" spans="1:5">
      <c r="A29" s="43" t="s">
        <v>3538</v>
      </c>
      <c r="B29" s="43" t="s">
        <v>3579</v>
      </c>
      <c r="C29" s="42" t="s">
        <v>362</v>
      </c>
      <c r="D29" s="44" t="s">
        <v>7</v>
      </c>
      <c r="E29" s="44">
        <v>1</v>
      </c>
    </row>
    <row r="30" spans="1:5">
      <c r="A30" s="43" t="s">
        <v>3538</v>
      </c>
      <c r="B30" s="43" t="s">
        <v>3580</v>
      </c>
      <c r="C30" s="42" t="s">
        <v>372</v>
      </c>
      <c r="D30" s="44" t="s">
        <v>7</v>
      </c>
      <c r="E30" s="44">
        <v>1</v>
      </c>
    </row>
    <row r="31" spans="1:5">
      <c r="A31" s="43" t="s">
        <v>3538</v>
      </c>
      <c r="B31" s="43" t="s">
        <v>3581</v>
      </c>
      <c r="C31" s="42" t="s">
        <v>330</v>
      </c>
      <c r="D31" s="44" t="s">
        <v>7</v>
      </c>
      <c r="E31" s="44">
        <v>1</v>
      </c>
    </row>
    <row r="32" spans="1:5">
      <c r="A32" s="43" t="s">
        <v>3538</v>
      </c>
      <c r="B32" s="43" t="s">
        <v>3582</v>
      </c>
      <c r="C32" s="42" t="s">
        <v>375</v>
      </c>
      <c r="D32" s="44" t="s">
        <v>7</v>
      </c>
      <c r="E32" s="44">
        <v>1</v>
      </c>
    </row>
    <row r="33" spans="1:5">
      <c r="A33" s="43" t="s">
        <v>3538</v>
      </c>
      <c r="B33" s="43" t="s">
        <v>3583</v>
      </c>
      <c r="C33" s="42" t="s">
        <v>3584</v>
      </c>
      <c r="D33" s="44" t="s">
        <v>7</v>
      </c>
      <c r="E33" s="44">
        <v>1</v>
      </c>
    </row>
    <row r="34" spans="1:5">
      <c r="A34" s="43" t="s">
        <v>3538</v>
      </c>
      <c r="B34" s="43" t="s">
        <v>3585</v>
      </c>
      <c r="C34" s="42" t="s">
        <v>3586</v>
      </c>
      <c r="D34" s="44" t="s">
        <v>7</v>
      </c>
      <c r="E34" s="44">
        <v>1</v>
      </c>
    </row>
    <row r="35" spans="1:5">
      <c r="A35" s="43" t="s">
        <v>3538</v>
      </c>
      <c r="B35" s="43" t="s">
        <v>3587</v>
      </c>
      <c r="C35" s="42" t="s">
        <v>96</v>
      </c>
      <c r="D35" s="44" t="s">
        <v>7</v>
      </c>
      <c r="E35" s="44">
        <v>1</v>
      </c>
    </row>
    <row r="36" spans="1:5">
      <c r="A36" s="43" t="s">
        <v>3538</v>
      </c>
      <c r="B36" s="43" t="s">
        <v>3588</v>
      </c>
      <c r="C36" s="42" t="s">
        <v>95</v>
      </c>
      <c r="D36" s="44" t="s">
        <v>7</v>
      </c>
      <c r="E36" s="44">
        <v>1</v>
      </c>
    </row>
    <row r="37" spans="1:5">
      <c r="A37" s="43" t="s">
        <v>3538</v>
      </c>
      <c r="B37" s="43" t="s">
        <v>3589</v>
      </c>
      <c r="C37" s="42" t="s">
        <v>95</v>
      </c>
      <c r="D37" s="44" t="s">
        <v>7</v>
      </c>
      <c r="E37" s="44">
        <v>1</v>
      </c>
    </row>
    <row r="38" spans="1:5">
      <c r="A38" s="43" t="s">
        <v>3538</v>
      </c>
      <c r="B38" s="43" t="s">
        <v>3590</v>
      </c>
      <c r="C38" s="42" t="s">
        <v>95</v>
      </c>
      <c r="D38" s="44" t="s">
        <v>7</v>
      </c>
      <c r="E38" s="44">
        <v>1</v>
      </c>
    </row>
    <row r="39" spans="1:5">
      <c r="A39" s="43" t="s">
        <v>3538</v>
      </c>
      <c r="B39" s="43" t="s">
        <v>3591</v>
      </c>
      <c r="C39" s="42" t="s">
        <v>94</v>
      </c>
      <c r="D39" s="44" t="s">
        <v>7</v>
      </c>
      <c r="E39" s="44">
        <v>1</v>
      </c>
    </row>
    <row r="40" spans="1:5">
      <c r="A40" s="43" t="s">
        <v>3538</v>
      </c>
      <c r="B40" s="43" t="s">
        <v>3592</v>
      </c>
      <c r="C40" s="42" t="s">
        <v>96</v>
      </c>
      <c r="D40" s="44" t="s">
        <v>7</v>
      </c>
      <c r="E40" s="44">
        <v>1</v>
      </c>
    </row>
    <row r="41" spans="1:5">
      <c r="A41" s="43" t="s">
        <v>3538</v>
      </c>
      <c r="B41" s="43" t="s">
        <v>3593</v>
      </c>
      <c r="C41" s="42" t="s">
        <v>96</v>
      </c>
      <c r="D41" s="44" t="s">
        <v>7</v>
      </c>
      <c r="E41" s="44">
        <v>1</v>
      </c>
    </row>
    <row r="42" spans="1:5">
      <c r="A42" s="43" t="s">
        <v>3538</v>
      </c>
      <c r="B42" s="43" t="s">
        <v>3594</v>
      </c>
      <c r="C42" s="42" t="s">
        <v>96</v>
      </c>
      <c r="D42" s="44" t="s">
        <v>7</v>
      </c>
      <c r="E42" s="44">
        <v>1</v>
      </c>
    </row>
    <row r="43" spans="1:5">
      <c r="A43" s="43" t="s">
        <v>3538</v>
      </c>
      <c r="B43" s="43" t="s">
        <v>3595</v>
      </c>
      <c r="C43" s="42" t="s">
        <v>96</v>
      </c>
      <c r="D43" s="44" t="s">
        <v>7</v>
      </c>
      <c r="E43" s="44">
        <v>1</v>
      </c>
    </row>
    <row r="44" spans="1:5">
      <c r="A44" s="43" t="s">
        <v>3538</v>
      </c>
      <c r="B44" s="43" t="s">
        <v>3596</v>
      </c>
      <c r="C44" s="42" t="s">
        <v>96</v>
      </c>
      <c r="D44" s="44" t="s">
        <v>7</v>
      </c>
      <c r="E44" s="44">
        <v>1</v>
      </c>
    </row>
    <row r="45" spans="1:5">
      <c r="A45" s="43" t="s">
        <v>3538</v>
      </c>
      <c r="B45" s="43" t="s">
        <v>3597</v>
      </c>
      <c r="C45" s="42" t="s">
        <v>96</v>
      </c>
      <c r="D45" s="44" t="s">
        <v>7</v>
      </c>
      <c r="E45" s="44">
        <v>1</v>
      </c>
    </row>
    <row r="46" spans="1:5">
      <c r="A46" s="43" t="s">
        <v>3538</v>
      </c>
      <c r="B46" s="43" t="s">
        <v>3598</v>
      </c>
      <c r="C46" s="42" t="s">
        <v>96</v>
      </c>
      <c r="D46" s="44" t="s">
        <v>7</v>
      </c>
      <c r="E46" s="44">
        <v>1</v>
      </c>
    </row>
    <row r="47" spans="1:5">
      <c r="A47" s="43" t="s">
        <v>3538</v>
      </c>
      <c r="B47" s="43" t="s">
        <v>3599</v>
      </c>
      <c r="C47" s="42" t="s">
        <v>96</v>
      </c>
      <c r="D47" s="44" t="s">
        <v>7</v>
      </c>
      <c r="E47" s="44">
        <v>1</v>
      </c>
    </row>
    <row r="48" spans="1:5">
      <c r="A48" s="43" t="s">
        <v>3538</v>
      </c>
      <c r="B48" s="43" t="s">
        <v>3600</v>
      </c>
      <c r="C48" s="42" t="s">
        <v>96</v>
      </c>
      <c r="D48" s="44" t="s">
        <v>7</v>
      </c>
      <c r="E48" s="44">
        <v>1</v>
      </c>
    </row>
    <row r="49" spans="1:5">
      <c r="A49" s="43" t="s">
        <v>3538</v>
      </c>
      <c r="B49" s="43" t="s">
        <v>3601</v>
      </c>
      <c r="C49" s="42" t="s">
        <v>96</v>
      </c>
      <c r="D49" s="44" t="s">
        <v>7</v>
      </c>
      <c r="E49" s="44">
        <v>1</v>
      </c>
    </row>
    <row r="50" spans="1:5">
      <c r="A50" s="43" t="s">
        <v>3538</v>
      </c>
      <c r="B50" s="43" t="s">
        <v>3602</v>
      </c>
      <c r="C50" s="42" t="s">
        <v>96</v>
      </c>
      <c r="D50" s="44" t="s">
        <v>7</v>
      </c>
      <c r="E50" s="44">
        <v>1</v>
      </c>
    </row>
    <row r="51" spans="1:5">
      <c r="A51" s="43" t="s">
        <v>3538</v>
      </c>
      <c r="B51" s="43" t="s">
        <v>3603</v>
      </c>
      <c r="C51" s="42" t="s">
        <v>96</v>
      </c>
      <c r="D51" s="44" t="s">
        <v>7</v>
      </c>
      <c r="E51" s="44">
        <v>1</v>
      </c>
    </row>
    <row r="52" spans="1:5">
      <c r="A52" s="43" t="s">
        <v>3538</v>
      </c>
      <c r="B52" s="43" t="s">
        <v>3604</v>
      </c>
      <c r="C52" s="42" t="s">
        <v>96</v>
      </c>
      <c r="D52" s="44" t="s">
        <v>7</v>
      </c>
      <c r="E52" s="44">
        <v>1</v>
      </c>
    </row>
    <row r="53" spans="1:5">
      <c r="A53" s="43" t="s">
        <v>3538</v>
      </c>
      <c r="B53" s="43" t="s">
        <v>3605</v>
      </c>
      <c r="C53" s="42" t="s">
        <v>96</v>
      </c>
      <c r="D53" s="44" t="s">
        <v>7</v>
      </c>
      <c r="E53" s="44">
        <v>1</v>
      </c>
    </row>
    <row r="54" spans="1:5">
      <c r="A54" s="43" t="s">
        <v>3538</v>
      </c>
      <c r="B54" s="43" t="s">
        <v>3606</v>
      </c>
      <c r="C54" s="42" t="s">
        <v>96</v>
      </c>
      <c r="D54" s="44" t="s">
        <v>7</v>
      </c>
      <c r="E54" s="44">
        <v>1</v>
      </c>
    </row>
    <row r="55" spans="1:5">
      <c r="A55" s="43" t="s">
        <v>3538</v>
      </c>
      <c r="B55" s="43" t="s">
        <v>3607</v>
      </c>
      <c r="C55" s="42" t="s">
        <v>96</v>
      </c>
      <c r="D55" s="44" t="s">
        <v>7</v>
      </c>
      <c r="E55" s="44">
        <v>1</v>
      </c>
    </row>
    <row r="56" spans="1:5">
      <c r="A56" s="43" t="s">
        <v>3538</v>
      </c>
      <c r="B56" s="43" t="s">
        <v>3608</v>
      </c>
      <c r="C56" s="42" t="s">
        <v>96</v>
      </c>
      <c r="D56" s="44" t="s">
        <v>7</v>
      </c>
      <c r="E56" s="44">
        <v>1</v>
      </c>
    </row>
    <row r="57" spans="1:5">
      <c r="A57" s="43" t="s">
        <v>3538</v>
      </c>
      <c r="B57" s="43" t="s">
        <v>3609</v>
      </c>
      <c r="C57" s="42" t="s">
        <v>96</v>
      </c>
      <c r="D57" s="44" t="s">
        <v>7</v>
      </c>
      <c r="E57" s="44">
        <v>1</v>
      </c>
    </row>
    <row r="58" spans="1:5">
      <c r="A58" s="43" t="s">
        <v>3538</v>
      </c>
      <c r="B58" s="43" t="s">
        <v>3610</v>
      </c>
      <c r="C58" s="42" t="s">
        <v>96</v>
      </c>
      <c r="D58" s="44" t="s">
        <v>7</v>
      </c>
      <c r="E58" s="44">
        <v>1</v>
      </c>
    </row>
    <row r="59" spans="1:5">
      <c r="A59" s="43" t="s">
        <v>3538</v>
      </c>
      <c r="B59" s="43" t="s">
        <v>3611</v>
      </c>
      <c r="C59" s="42" t="s">
        <v>96</v>
      </c>
      <c r="D59" s="44" t="s">
        <v>7</v>
      </c>
      <c r="E59" s="44">
        <v>1</v>
      </c>
    </row>
    <row r="60" spans="1:5">
      <c r="A60" s="43" t="s">
        <v>3538</v>
      </c>
      <c r="B60" s="43" t="s">
        <v>3612</v>
      </c>
      <c r="C60" s="42" t="s">
        <v>96</v>
      </c>
      <c r="D60" s="44" t="s">
        <v>7</v>
      </c>
      <c r="E60" s="44">
        <v>1</v>
      </c>
    </row>
    <row r="61" spans="1:5">
      <c r="A61" s="43" t="s">
        <v>3538</v>
      </c>
      <c r="B61" s="43" t="s">
        <v>3613</v>
      </c>
      <c r="C61" s="42" t="s">
        <v>96</v>
      </c>
      <c r="D61" s="44" t="s">
        <v>7</v>
      </c>
      <c r="E61" s="44">
        <v>1</v>
      </c>
    </row>
    <row r="62" spans="1:5">
      <c r="A62" s="43" t="s">
        <v>3538</v>
      </c>
      <c r="B62" s="43" t="s">
        <v>3614</v>
      </c>
      <c r="C62" s="42" t="s">
        <v>96</v>
      </c>
      <c r="D62" s="44" t="s">
        <v>7</v>
      </c>
      <c r="E62" s="44">
        <v>1</v>
      </c>
    </row>
    <row r="63" spans="1:5">
      <c r="A63" s="43" t="s">
        <v>3538</v>
      </c>
      <c r="B63" s="43" t="s">
        <v>3615</v>
      </c>
      <c r="C63" s="42" t="s">
        <v>96</v>
      </c>
      <c r="D63" s="44" t="s">
        <v>7</v>
      </c>
      <c r="E63" s="44">
        <v>1</v>
      </c>
    </row>
    <row r="64" spans="1:5">
      <c r="A64" s="43" t="s">
        <v>3538</v>
      </c>
      <c r="B64" s="43" t="s">
        <v>3616</v>
      </c>
      <c r="C64" s="42" t="s">
        <v>96</v>
      </c>
      <c r="D64" s="44" t="s">
        <v>7</v>
      </c>
      <c r="E64" s="44">
        <v>1</v>
      </c>
    </row>
    <row r="65" spans="1:5">
      <c r="A65" s="43" t="s">
        <v>3538</v>
      </c>
      <c r="B65" s="43" t="s">
        <v>3617</v>
      </c>
      <c r="C65" s="42" t="s">
        <v>96</v>
      </c>
      <c r="D65" s="44" t="s">
        <v>7</v>
      </c>
      <c r="E65" s="44">
        <v>1</v>
      </c>
    </row>
    <row r="66" spans="1:5">
      <c r="A66" s="43" t="s">
        <v>3538</v>
      </c>
      <c r="B66" s="43" t="s">
        <v>3618</v>
      </c>
      <c r="C66" s="42" t="s">
        <v>96</v>
      </c>
      <c r="D66" s="44" t="s">
        <v>7</v>
      </c>
      <c r="E66" s="44">
        <v>1</v>
      </c>
    </row>
    <row r="67" spans="1:5">
      <c r="A67" s="43" t="s">
        <v>3538</v>
      </c>
      <c r="B67" s="43" t="s">
        <v>3619</v>
      </c>
      <c r="C67" s="42" t="s">
        <v>96</v>
      </c>
      <c r="D67" s="44" t="s">
        <v>7</v>
      </c>
      <c r="E67" s="44">
        <v>1</v>
      </c>
    </row>
    <row r="68" spans="1:5">
      <c r="A68" s="43" t="s">
        <v>3538</v>
      </c>
      <c r="B68" s="43" t="s">
        <v>3620</v>
      </c>
      <c r="C68" s="42" t="s">
        <v>96</v>
      </c>
      <c r="D68" s="44" t="s">
        <v>7</v>
      </c>
      <c r="E68" s="44">
        <v>1</v>
      </c>
    </row>
    <row r="69" spans="1:5">
      <c r="A69" s="43" t="s">
        <v>3538</v>
      </c>
      <c r="B69" s="43" t="s">
        <v>3621</v>
      </c>
      <c r="C69" s="42" t="s">
        <v>96</v>
      </c>
      <c r="D69" s="44" t="s">
        <v>7</v>
      </c>
      <c r="E69" s="44">
        <v>1</v>
      </c>
    </row>
    <row r="70" spans="1:5">
      <c r="A70" s="43" t="s">
        <v>3538</v>
      </c>
      <c r="B70" s="43" t="s">
        <v>3622</v>
      </c>
      <c r="C70" s="42" t="s">
        <v>96</v>
      </c>
      <c r="D70" s="44" t="s">
        <v>7</v>
      </c>
      <c r="E70" s="44">
        <v>1</v>
      </c>
    </row>
    <row r="71" spans="1:5">
      <c r="A71" s="43" t="s">
        <v>3538</v>
      </c>
      <c r="B71" s="43" t="s">
        <v>3623</v>
      </c>
      <c r="C71" s="42" t="s">
        <v>96</v>
      </c>
      <c r="D71" s="44" t="s">
        <v>7</v>
      </c>
      <c r="E71" s="44">
        <v>1</v>
      </c>
    </row>
    <row r="72" spans="1:5">
      <c r="A72" s="43" t="s">
        <v>3538</v>
      </c>
      <c r="B72" s="43" t="s">
        <v>3624</v>
      </c>
      <c r="C72" s="42" t="s">
        <v>96</v>
      </c>
      <c r="D72" s="44" t="s">
        <v>7</v>
      </c>
      <c r="E72" s="44">
        <v>1</v>
      </c>
    </row>
    <row r="73" spans="1:5">
      <c r="A73" s="43" t="s">
        <v>3538</v>
      </c>
      <c r="B73" s="43" t="s">
        <v>3625</v>
      </c>
      <c r="C73" s="42" t="s">
        <v>96</v>
      </c>
      <c r="D73" s="44" t="s">
        <v>7</v>
      </c>
      <c r="E73" s="44">
        <v>1</v>
      </c>
    </row>
    <row r="74" spans="1:5">
      <c r="A74" s="43" t="s">
        <v>3538</v>
      </c>
      <c r="B74" s="43" t="s">
        <v>3626</v>
      </c>
      <c r="C74" s="42" t="s">
        <v>96</v>
      </c>
      <c r="D74" s="44" t="s">
        <v>7</v>
      </c>
      <c r="E74" s="44">
        <v>1</v>
      </c>
    </row>
    <row r="75" spans="1:5">
      <c r="A75" s="43" t="s">
        <v>3538</v>
      </c>
      <c r="B75" s="43" t="s">
        <v>3627</v>
      </c>
      <c r="C75" s="42" t="s">
        <v>96</v>
      </c>
      <c r="D75" s="44" t="s">
        <v>7</v>
      </c>
      <c r="E75" s="44">
        <v>1</v>
      </c>
    </row>
    <row r="76" spans="1:5">
      <c r="A76" s="43" t="s">
        <v>3538</v>
      </c>
      <c r="B76" s="43" t="s">
        <v>3628</v>
      </c>
      <c r="C76" s="42" t="s">
        <v>96</v>
      </c>
      <c r="D76" s="44" t="s">
        <v>7</v>
      </c>
      <c r="E76" s="44">
        <v>1</v>
      </c>
    </row>
    <row r="77" spans="1:5">
      <c r="A77" s="43" t="s">
        <v>3538</v>
      </c>
      <c r="B77" s="43" t="s">
        <v>3629</v>
      </c>
      <c r="C77" s="42" t="s">
        <v>96</v>
      </c>
      <c r="D77" s="44" t="s">
        <v>7</v>
      </c>
      <c r="E77" s="44">
        <v>1</v>
      </c>
    </row>
    <row r="78" spans="1:5">
      <c r="A78" s="43" t="s">
        <v>3538</v>
      </c>
      <c r="B78" s="43" t="s">
        <v>3630</v>
      </c>
      <c r="C78" s="42" t="s">
        <v>96</v>
      </c>
      <c r="D78" s="44" t="s">
        <v>7</v>
      </c>
      <c r="E78" s="44">
        <v>1</v>
      </c>
    </row>
    <row r="79" spans="1:5">
      <c r="A79" s="43" t="s">
        <v>3538</v>
      </c>
      <c r="B79" s="43" t="s">
        <v>3631</v>
      </c>
      <c r="C79" s="42" t="s">
        <v>96</v>
      </c>
      <c r="D79" s="44" t="s">
        <v>7</v>
      </c>
      <c r="E79" s="44">
        <v>1</v>
      </c>
    </row>
    <row r="80" spans="1:5">
      <c r="A80" s="43" t="s">
        <v>3538</v>
      </c>
      <c r="B80" s="43" t="s">
        <v>3632</v>
      </c>
      <c r="C80" s="42" t="s">
        <v>96</v>
      </c>
      <c r="D80" s="44" t="s">
        <v>7</v>
      </c>
      <c r="E80" s="44">
        <v>1</v>
      </c>
    </row>
    <row r="81" spans="1:5">
      <c r="A81" s="43" t="s">
        <v>3538</v>
      </c>
      <c r="B81" s="43" t="s">
        <v>3633</v>
      </c>
      <c r="C81" s="42" t="s">
        <v>96</v>
      </c>
      <c r="D81" s="44" t="s">
        <v>7</v>
      </c>
      <c r="E81" s="44">
        <v>1</v>
      </c>
    </row>
    <row r="82" spans="1:5">
      <c r="A82" s="43" t="s">
        <v>3538</v>
      </c>
      <c r="B82" s="43" t="s">
        <v>3634</v>
      </c>
      <c r="C82" s="42" t="s">
        <v>96</v>
      </c>
      <c r="D82" s="44" t="s">
        <v>7</v>
      </c>
      <c r="E82" s="44">
        <v>1</v>
      </c>
    </row>
    <row r="83" spans="1:5">
      <c r="A83" s="43" t="s">
        <v>3538</v>
      </c>
      <c r="B83" s="43" t="s">
        <v>3635</v>
      </c>
      <c r="C83" s="42" t="s">
        <v>96</v>
      </c>
      <c r="D83" s="44" t="s">
        <v>7</v>
      </c>
      <c r="E83" s="44">
        <v>1</v>
      </c>
    </row>
    <row r="84" spans="1:5">
      <c r="A84" s="43" t="s">
        <v>3538</v>
      </c>
      <c r="B84" s="43" t="s">
        <v>3636</v>
      </c>
      <c r="C84" s="42" t="s">
        <v>96</v>
      </c>
      <c r="D84" s="44" t="s">
        <v>7</v>
      </c>
      <c r="E84" s="44">
        <v>1</v>
      </c>
    </row>
    <row r="85" spans="1:5">
      <c r="A85" s="43" t="s">
        <v>3538</v>
      </c>
      <c r="B85" s="43" t="s">
        <v>3637</v>
      </c>
      <c r="C85" s="42" t="s">
        <v>96</v>
      </c>
      <c r="D85" s="44" t="s">
        <v>7</v>
      </c>
      <c r="E85" s="44">
        <v>1</v>
      </c>
    </row>
    <row r="86" spans="1:5">
      <c r="A86" s="43" t="s">
        <v>3538</v>
      </c>
      <c r="B86" s="43">
        <v>20150271</v>
      </c>
      <c r="C86" s="43" t="s">
        <v>3638</v>
      </c>
      <c r="D86" s="44" t="s">
        <v>7</v>
      </c>
      <c r="E86" s="44">
        <v>1</v>
      </c>
    </row>
    <row r="87" spans="1:5">
      <c r="A87" s="43" t="s">
        <v>3538</v>
      </c>
      <c r="B87" s="43">
        <v>20151885</v>
      </c>
      <c r="C87" s="42" t="s">
        <v>362</v>
      </c>
      <c r="D87" s="44" t="s">
        <v>7</v>
      </c>
      <c r="E87" s="44">
        <v>1</v>
      </c>
    </row>
    <row r="88" spans="1:5">
      <c r="A88" s="43" t="s">
        <v>3538</v>
      </c>
      <c r="B88" s="43">
        <v>20151965</v>
      </c>
      <c r="C88" s="42" t="s">
        <v>372</v>
      </c>
      <c r="D88" s="44" t="s">
        <v>7</v>
      </c>
      <c r="E88" s="44">
        <v>1</v>
      </c>
    </row>
    <row r="89" spans="1:5">
      <c r="A89" s="43" t="s">
        <v>3538</v>
      </c>
      <c r="B89" s="43" t="s">
        <v>3639</v>
      </c>
      <c r="C89" s="42" t="s">
        <v>337</v>
      </c>
      <c r="D89" s="44" t="s">
        <v>7</v>
      </c>
      <c r="E89" s="44">
        <v>1</v>
      </c>
    </row>
    <row r="90" spans="1:5">
      <c r="A90" s="43" t="s">
        <v>3538</v>
      </c>
      <c r="B90" s="43" t="s">
        <v>3640</v>
      </c>
      <c r="C90" s="42" t="s">
        <v>3641</v>
      </c>
      <c r="D90" s="44" t="s">
        <v>7</v>
      </c>
      <c r="E90" s="44">
        <v>1</v>
      </c>
    </row>
    <row r="91" spans="1:5">
      <c r="A91" s="43" t="s">
        <v>3538</v>
      </c>
      <c r="B91" s="43" t="s">
        <v>3642</v>
      </c>
      <c r="C91" s="42" t="s">
        <v>3641</v>
      </c>
      <c r="D91" s="44" t="s">
        <v>7</v>
      </c>
      <c r="E91" s="44">
        <v>1</v>
      </c>
    </row>
    <row r="92" spans="1:5">
      <c r="A92" s="43" t="s">
        <v>3538</v>
      </c>
      <c r="B92" s="43" t="s">
        <v>3643</v>
      </c>
      <c r="C92" s="42" t="s">
        <v>3641</v>
      </c>
      <c r="D92" s="44" t="s">
        <v>7</v>
      </c>
      <c r="E92" s="44">
        <v>1</v>
      </c>
    </row>
    <row r="93" spans="1:5">
      <c r="A93" s="43" t="s">
        <v>3538</v>
      </c>
      <c r="B93" s="43" t="s">
        <v>3644</v>
      </c>
      <c r="C93" s="42" t="s">
        <v>3641</v>
      </c>
      <c r="D93" s="44" t="s">
        <v>7</v>
      </c>
      <c r="E93" s="44">
        <v>1</v>
      </c>
    </row>
    <row r="94" spans="1:5">
      <c r="A94" s="43" t="s">
        <v>3538</v>
      </c>
      <c r="B94" s="43" t="s">
        <v>3645</v>
      </c>
      <c r="C94" s="42" t="s">
        <v>367</v>
      </c>
      <c r="D94" s="44" t="s">
        <v>7</v>
      </c>
      <c r="E94" s="44">
        <v>1</v>
      </c>
    </row>
    <row r="95" spans="1:5">
      <c r="A95" s="43" t="s">
        <v>3538</v>
      </c>
      <c r="B95" s="43">
        <v>20171343</v>
      </c>
      <c r="C95" s="42" t="s">
        <v>96</v>
      </c>
      <c r="D95" s="44" t="s">
        <v>7</v>
      </c>
      <c r="E95" s="44">
        <v>1</v>
      </c>
    </row>
    <row r="96" spans="1:5">
      <c r="A96" s="43" t="s">
        <v>3538</v>
      </c>
      <c r="B96" s="43" t="s">
        <v>3646</v>
      </c>
      <c r="C96" s="42" t="s">
        <v>903</v>
      </c>
      <c r="D96" s="44" t="s">
        <v>7</v>
      </c>
      <c r="E96" s="44">
        <v>1</v>
      </c>
    </row>
    <row r="97" spans="1:5">
      <c r="A97" s="43" t="s">
        <v>3538</v>
      </c>
      <c r="B97" s="43" t="s">
        <v>3647</v>
      </c>
      <c r="C97" s="42" t="s">
        <v>903</v>
      </c>
      <c r="D97" s="44" t="s">
        <v>7</v>
      </c>
      <c r="E97" s="44">
        <v>1</v>
      </c>
    </row>
    <row r="98" spans="1:5">
      <c r="A98" s="43" t="s">
        <v>3538</v>
      </c>
      <c r="B98" s="43" t="s">
        <v>3648</v>
      </c>
      <c r="C98" s="42" t="s">
        <v>903</v>
      </c>
      <c r="D98" s="44" t="s">
        <v>7</v>
      </c>
      <c r="E98" s="44">
        <v>1</v>
      </c>
    </row>
    <row r="99" spans="1:5">
      <c r="A99" s="43" t="s">
        <v>3538</v>
      </c>
      <c r="B99" s="43" t="s">
        <v>3649</v>
      </c>
      <c r="C99" s="42" t="s">
        <v>903</v>
      </c>
      <c r="D99" s="44" t="s">
        <v>7</v>
      </c>
      <c r="E99" s="44">
        <v>1</v>
      </c>
    </row>
    <row r="100" spans="1:5">
      <c r="A100" s="43" t="s">
        <v>3538</v>
      </c>
      <c r="B100" s="43" t="s">
        <v>3650</v>
      </c>
      <c r="C100" s="42" t="s">
        <v>903</v>
      </c>
      <c r="D100" s="44" t="s">
        <v>7</v>
      </c>
      <c r="E100" s="44">
        <v>1</v>
      </c>
    </row>
    <row r="101" spans="1:5">
      <c r="A101" s="43" t="s">
        <v>3538</v>
      </c>
      <c r="B101" s="43" t="s">
        <v>3651</v>
      </c>
      <c r="C101" s="42" t="s">
        <v>903</v>
      </c>
      <c r="D101" s="44" t="s">
        <v>7</v>
      </c>
      <c r="E101" s="44">
        <v>1</v>
      </c>
    </row>
    <row r="102" spans="1:5">
      <c r="A102" s="43" t="s">
        <v>3538</v>
      </c>
      <c r="B102" s="43" t="s">
        <v>3652</v>
      </c>
      <c r="C102" s="42" t="s">
        <v>903</v>
      </c>
      <c r="D102" s="44" t="s">
        <v>7</v>
      </c>
      <c r="E102" s="44">
        <v>1</v>
      </c>
    </row>
    <row r="103" spans="1:5">
      <c r="A103" s="43" t="s">
        <v>3538</v>
      </c>
      <c r="B103" s="43" t="s">
        <v>3653</v>
      </c>
      <c r="C103" s="42" t="s">
        <v>3654</v>
      </c>
      <c r="D103" s="44" t="s">
        <v>7</v>
      </c>
      <c r="E103" s="44">
        <v>1</v>
      </c>
    </row>
    <row r="104" spans="1:5">
      <c r="A104" s="43" t="s">
        <v>3538</v>
      </c>
      <c r="B104" s="43" t="s">
        <v>3655</v>
      </c>
      <c r="C104" s="42" t="s">
        <v>3656</v>
      </c>
      <c r="D104" s="44" t="s">
        <v>7</v>
      </c>
      <c r="E104" s="44">
        <v>1</v>
      </c>
    </row>
    <row r="105" spans="1:5">
      <c r="A105" s="43" t="s">
        <v>3538</v>
      </c>
      <c r="B105" s="43" t="s">
        <v>3657</v>
      </c>
      <c r="C105" s="42" t="s">
        <v>3574</v>
      </c>
      <c r="D105" s="44" t="s">
        <v>7</v>
      </c>
      <c r="E105" s="44">
        <v>1</v>
      </c>
    </row>
    <row r="106" spans="1:5">
      <c r="A106" s="43" t="s">
        <v>3538</v>
      </c>
      <c r="B106" s="43" t="s">
        <v>3658</v>
      </c>
      <c r="C106" s="42" t="s">
        <v>3659</v>
      </c>
      <c r="D106" s="44" t="s">
        <v>7</v>
      </c>
      <c r="E106" s="44">
        <v>1</v>
      </c>
    </row>
    <row r="107" spans="1:5">
      <c r="A107" s="43" t="s">
        <v>3538</v>
      </c>
      <c r="B107" s="43" t="s">
        <v>3660</v>
      </c>
      <c r="C107" s="42" t="s">
        <v>35</v>
      </c>
      <c r="D107" s="44" t="s">
        <v>7</v>
      </c>
      <c r="E107" s="44">
        <v>1</v>
      </c>
    </row>
    <row r="108" spans="1:5">
      <c r="A108" s="43" t="s">
        <v>3538</v>
      </c>
      <c r="B108" s="43" t="s">
        <v>3661</v>
      </c>
      <c r="C108" s="42" t="s">
        <v>3662</v>
      </c>
      <c r="D108" s="44" t="s">
        <v>7</v>
      </c>
      <c r="E108" s="44">
        <v>1</v>
      </c>
    </row>
    <row r="109" spans="1:5">
      <c r="A109" s="43" t="s">
        <v>3538</v>
      </c>
      <c r="B109" s="43" t="s">
        <v>3663</v>
      </c>
      <c r="C109" s="42" t="s">
        <v>3664</v>
      </c>
      <c r="D109" s="44" t="s">
        <v>7</v>
      </c>
      <c r="E109" s="44">
        <v>1</v>
      </c>
    </row>
    <row r="110" spans="1:5">
      <c r="A110" s="43" t="s">
        <v>3538</v>
      </c>
      <c r="B110" s="43" t="s">
        <v>3665</v>
      </c>
      <c r="C110" s="42" t="s">
        <v>3664</v>
      </c>
      <c r="D110" s="44" t="s">
        <v>7</v>
      </c>
      <c r="E110" s="44">
        <v>1</v>
      </c>
    </row>
    <row r="111" spans="1:5">
      <c r="A111" s="43" t="s">
        <v>3538</v>
      </c>
      <c r="B111" s="43" t="s">
        <v>3666</v>
      </c>
      <c r="C111" s="42" t="s">
        <v>3667</v>
      </c>
      <c r="D111" s="44" t="s">
        <v>7</v>
      </c>
      <c r="E111" s="44">
        <v>1</v>
      </c>
    </row>
    <row r="112" spans="1:5">
      <c r="A112" s="43" t="s">
        <v>3538</v>
      </c>
      <c r="B112" s="43" t="s">
        <v>3668</v>
      </c>
      <c r="C112" s="42" t="s">
        <v>3669</v>
      </c>
      <c r="D112" s="44" t="s">
        <v>7</v>
      </c>
      <c r="E112" s="44">
        <v>1</v>
      </c>
    </row>
    <row r="113" spans="1:5">
      <c r="A113" s="43" t="s">
        <v>3538</v>
      </c>
      <c r="B113" s="43" t="s">
        <v>3670</v>
      </c>
      <c r="C113" s="42" t="s">
        <v>3671</v>
      </c>
      <c r="D113" s="44" t="s">
        <v>7</v>
      </c>
      <c r="E113" s="44">
        <v>1</v>
      </c>
    </row>
    <row r="114" spans="1:5">
      <c r="A114" s="43" t="s">
        <v>3538</v>
      </c>
      <c r="B114" s="43" t="s">
        <v>3672</v>
      </c>
      <c r="C114" s="42" t="s">
        <v>96</v>
      </c>
      <c r="D114" s="44" t="s">
        <v>7</v>
      </c>
      <c r="E114" s="44">
        <v>1</v>
      </c>
    </row>
    <row r="115" spans="1:5">
      <c r="A115" s="43" t="s">
        <v>3538</v>
      </c>
      <c r="B115" s="43" t="s">
        <v>3673</v>
      </c>
      <c r="C115" s="42" t="s">
        <v>96</v>
      </c>
      <c r="D115" s="44" t="s">
        <v>7</v>
      </c>
      <c r="E115" s="44">
        <v>1</v>
      </c>
    </row>
    <row r="116" spans="1:5">
      <c r="A116" s="43" t="s">
        <v>3538</v>
      </c>
      <c r="B116" s="43" t="s">
        <v>3674</v>
      </c>
      <c r="C116" s="42" t="s">
        <v>96</v>
      </c>
      <c r="D116" s="44" t="s">
        <v>7</v>
      </c>
      <c r="E116" s="44">
        <v>1</v>
      </c>
    </row>
    <row r="117" spans="1:7">
      <c r="A117" s="43" t="s">
        <v>3538</v>
      </c>
      <c r="B117" s="43" t="s">
        <v>3675</v>
      </c>
      <c r="C117" s="42" t="s">
        <v>96</v>
      </c>
      <c r="D117" s="44" t="s">
        <v>7</v>
      </c>
      <c r="E117" s="44">
        <v>1</v>
      </c>
      <c r="F117" s="46"/>
      <c r="G117" s="47"/>
    </row>
    <row r="118" spans="1:5">
      <c r="A118" s="43" t="s">
        <v>3538</v>
      </c>
      <c r="B118" s="43" t="s">
        <v>3676</v>
      </c>
      <c r="C118" s="42" t="s">
        <v>96</v>
      </c>
      <c r="D118" s="44" t="s">
        <v>7</v>
      </c>
      <c r="E118" s="44">
        <v>1</v>
      </c>
    </row>
    <row r="119" spans="1:5">
      <c r="A119" s="43" t="s">
        <v>3538</v>
      </c>
      <c r="B119" s="43" t="s">
        <v>3677</v>
      </c>
      <c r="C119" s="42" t="s">
        <v>96</v>
      </c>
      <c r="D119" s="44" t="s">
        <v>7</v>
      </c>
      <c r="E119" s="44">
        <v>1</v>
      </c>
    </row>
    <row r="120" spans="1:5">
      <c r="A120" s="43" t="s">
        <v>3538</v>
      </c>
      <c r="B120" s="43" t="s">
        <v>3678</v>
      </c>
      <c r="C120" s="42" t="s">
        <v>3679</v>
      </c>
      <c r="D120" s="44" t="s">
        <v>7</v>
      </c>
      <c r="E120" s="44">
        <v>1</v>
      </c>
    </row>
    <row r="121" spans="1:5">
      <c r="A121" s="43" t="s">
        <v>3538</v>
      </c>
      <c r="B121" s="43" t="s">
        <v>3680</v>
      </c>
      <c r="C121" s="42" t="s">
        <v>3679</v>
      </c>
      <c r="D121" s="44" t="s">
        <v>7</v>
      </c>
      <c r="E121" s="44">
        <v>1</v>
      </c>
    </row>
    <row r="122" spans="1:5">
      <c r="A122" s="43" t="s">
        <v>3538</v>
      </c>
      <c r="B122" s="43" t="s">
        <v>3681</v>
      </c>
      <c r="C122" s="42" t="s">
        <v>3679</v>
      </c>
      <c r="D122" s="44" t="s">
        <v>7</v>
      </c>
      <c r="E122" s="44">
        <v>1</v>
      </c>
    </row>
    <row r="123" spans="1:5">
      <c r="A123" s="43" t="s">
        <v>3538</v>
      </c>
      <c r="B123" s="43" t="s">
        <v>3682</v>
      </c>
      <c r="C123" s="42" t="s">
        <v>3679</v>
      </c>
      <c r="D123" s="44" t="s">
        <v>7</v>
      </c>
      <c r="E123" s="44">
        <v>1</v>
      </c>
    </row>
    <row r="124" spans="1:5">
      <c r="A124" s="43" t="s">
        <v>3538</v>
      </c>
      <c r="B124" s="43" t="s">
        <v>3683</v>
      </c>
      <c r="C124" s="42" t="s">
        <v>3679</v>
      </c>
      <c r="D124" s="44" t="s">
        <v>7</v>
      </c>
      <c r="E124" s="44">
        <v>1</v>
      </c>
    </row>
    <row r="125" spans="1:5">
      <c r="A125" s="43" t="s">
        <v>3538</v>
      </c>
      <c r="B125" s="43" t="s">
        <v>3684</v>
      </c>
      <c r="C125" s="42" t="s">
        <v>3679</v>
      </c>
      <c r="D125" s="44" t="s">
        <v>7</v>
      </c>
      <c r="E125" s="44">
        <v>1</v>
      </c>
    </row>
    <row r="126" spans="1:5">
      <c r="A126" s="43" t="s">
        <v>3538</v>
      </c>
      <c r="B126" s="43" t="s">
        <v>3685</v>
      </c>
      <c r="C126" s="42" t="s">
        <v>3686</v>
      </c>
      <c r="D126" s="44" t="s">
        <v>7</v>
      </c>
      <c r="E126" s="44">
        <v>1</v>
      </c>
    </row>
    <row r="127" spans="1:5">
      <c r="A127" s="43" t="s">
        <v>3538</v>
      </c>
      <c r="B127" s="43" t="s">
        <v>3687</v>
      </c>
      <c r="C127" s="42" t="s">
        <v>3686</v>
      </c>
      <c r="D127" s="44" t="s">
        <v>7</v>
      </c>
      <c r="E127" s="44">
        <v>1</v>
      </c>
    </row>
    <row r="128" spans="1:5">
      <c r="A128" s="43" t="s">
        <v>3538</v>
      </c>
      <c r="B128" s="43" t="s">
        <v>3688</v>
      </c>
      <c r="C128" s="42" t="s">
        <v>3686</v>
      </c>
      <c r="D128" s="44" t="s">
        <v>7</v>
      </c>
      <c r="E128" s="44">
        <v>1</v>
      </c>
    </row>
    <row r="129" spans="1:5">
      <c r="A129" s="43" t="s">
        <v>3538</v>
      </c>
      <c r="B129" s="43" t="s">
        <v>3689</v>
      </c>
      <c r="C129" s="42" t="s">
        <v>3686</v>
      </c>
      <c r="D129" s="44" t="s">
        <v>7</v>
      </c>
      <c r="E129" s="44">
        <v>1</v>
      </c>
    </row>
    <row r="130" spans="1:5">
      <c r="A130" s="43" t="s">
        <v>3538</v>
      </c>
      <c r="B130" s="43" t="s">
        <v>3690</v>
      </c>
      <c r="C130" s="42" t="s">
        <v>3686</v>
      </c>
      <c r="D130" s="44" t="s">
        <v>7</v>
      </c>
      <c r="E130" s="44">
        <v>1</v>
      </c>
    </row>
    <row r="131" spans="1:5">
      <c r="A131" s="43" t="s">
        <v>3538</v>
      </c>
      <c r="B131" s="43" t="s">
        <v>3691</v>
      </c>
      <c r="C131" s="42" t="s">
        <v>3686</v>
      </c>
      <c r="D131" s="44" t="s">
        <v>7</v>
      </c>
      <c r="E131" s="44">
        <v>1</v>
      </c>
    </row>
    <row r="132" spans="1:5">
      <c r="A132" s="43" t="s">
        <v>3538</v>
      </c>
      <c r="B132" s="43" t="s">
        <v>3692</v>
      </c>
      <c r="C132" s="42" t="s">
        <v>3693</v>
      </c>
      <c r="D132" s="44" t="s">
        <v>7</v>
      </c>
      <c r="E132" s="44">
        <v>1</v>
      </c>
    </row>
    <row r="133" spans="1:5">
      <c r="A133" s="43" t="s">
        <v>3538</v>
      </c>
      <c r="B133" s="43">
        <v>20150269</v>
      </c>
      <c r="C133" s="42" t="s">
        <v>2478</v>
      </c>
      <c r="D133" s="44" t="s">
        <v>7</v>
      </c>
      <c r="E133" s="44">
        <v>1</v>
      </c>
    </row>
    <row r="134" spans="1:5">
      <c r="A134" s="43" t="s">
        <v>3538</v>
      </c>
      <c r="B134" s="43">
        <v>20151515</v>
      </c>
      <c r="C134" s="42" t="s">
        <v>3694</v>
      </c>
      <c r="D134" s="44" t="s">
        <v>7</v>
      </c>
      <c r="E134" s="44">
        <v>1</v>
      </c>
    </row>
    <row r="135" spans="1:5">
      <c r="A135" s="43" t="s">
        <v>3538</v>
      </c>
      <c r="B135" s="43">
        <v>20180926</v>
      </c>
      <c r="C135" s="42" t="s">
        <v>3695</v>
      </c>
      <c r="D135" s="44" t="s">
        <v>7</v>
      </c>
      <c r="E135" s="44">
        <v>1</v>
      </c>
    </row>
    <row r="136" spans="1:5">
      <c r="A136" s="43" t="s">
        <v>3538</v>
      </c>
      <c r="B136" s="43" t="s">
        <v>3696</v>
      </c>
      <c r="C136" s="42" t="s">
        <v>3697</v>
      </c>
      <c r="D136" s="44" t="s">
        <v>7</v>
      </c>
      <c r="E136" s="44">
        <v>1</v>
      </c>
    </row>
    <row r="137" spans="1:5">
      <c r="A137" s="43" t="s">
        <v>3538</v>
      </c>
      <c r="B137" s="43" t="s">
        <v>3698</v>
      </c>
      <c r="C137" s="42" t="s">
        <v>3699</v>
      </c>
      <c r="D137" s="44" t="s">
        <v>7</v>
      </c>
      <c r="E137" s="44">
        <v>1</v>
      </c>
    </row>
    <row r="138" spans="1:5">
      <c r="A138" s="43" t="s">
        <v>3538</v>
      </c>
      <c r="C138" s="42" t="s">
        <v>3700</v>
      </c>
      <c r="D138" s="44" t="s">
        <v>7</v>
      </c>
      <c r="E138" s="44">
        <v>1</v>
      </c>
    </row>
    <row r="139" spans="1:5">
      <c r="A139" s="43" t="s">
        <v>3538</v>
      </c>
      <c r="B139" s="43">
        <v>20200658</v>
      </c>
      <c r="C139" s="42" t="s">
        <v>1148</v>
      </c>
      <c r="D139" s="44" t="s">
        <v>7</v>
      </c>
      <c r="E139" s="44">
        <v>1</v>
      </c>
    </row>
    <row r="140" spans="1:5">
      <c r="A140" s="43" t="s">
        <v>3538</v>
      </c>
      <c r="B140" s="43" t="s">
        <v>3701</v>
      </c>
      <c r="C140" s="42" t="s">
        <v>3702</v>
      </c>
      <c r="D140" s="44" t="s">
        <v>7</v>
      </c>
      <c r="E140" s="44">
        <v>1</v>
      </c>
    </row>
    <row r="141" spans="1:5">
      <c r="A141" s="43" t="s">
        <v>3538</v>
      </c>
      <c r="B141" s="43" t="s">
        <v>3703</v>
      </c>
      <c r="C141" s="42" t="s">
        <v>3704</v>
      </c>
      <c r="D141" s="44" t="s">
        <v>7</v>
      </c>
      <c r="E141" s="44">
        <v>1</v>
      </c>
    </row>
    <row r="142" spans="1:5">
      <c r="A142" s="43" t="s">
        <v>3538</v>
      </c>
      <c r="B142" s="43" t="s">
        <v>3705</v>
      </c>
      <c r="C142" s="42" t="s">
        <v>108</v>
      </c>
      <c r="D142" s="44" t="s">
        <v>7</v>
      </c>
      <c r="E142" s="44">
        <v>1</v>
      </c>
    </row>
    <row r="143" spans="1:5">
      <c r="A143" s="43" t="s">
        <v>3538</v>
      </c>
      <c r="B143" s="43" t="s">
        <v>3706</v>
      </c>
      <c r="C143" s="42" t="s">
        <v>410</v>
      </c>
      <c r="D143" s="44" t="s">
        <v>7</v>
      </c>
      <c r="E143" s="44">
        <v>1</v>
      </c>
    </row>
    <row r="144" spans="1:5">
      <c r="A144" s="43" t="s">
        <v>3538</v>
      </c>
      <c r="B144" s="43" t="s">
        <v>3707</v>
      </c>
      <c r="C144" s="42" t="s">
        <v>96</v>
      </c>
      <c r="D144" s="44" t="s">
        <v>7</v>
      </c>
      <c r="E144" s="44">
        <v>1</v>
      </c>
    </row>
    <row r="145" spans="1:5">
      <c r="A145" s="43" t="s">
        <v>3538</v>
      </c>
      <c r="B145" s="43" t="s">
        <v>3708</v>
      </c>
      <c r="C145" s="42" t="s">
        <v>96</v>
      </c>
      <c r="D145" s="44" t="s">
        <v>7</v>
      </c>
      <c r="E145" s="44">
        <v>1</v>
      </c>
    </row>
    <row r="146" spans="1:5">
      <c r="A146" s="43" t="s">
        <v>3538</v>
      </c>
      <c r="B146" s="43" t="s">
        <v>3709</v>
      </c>
      <c r="C146" s="42" t="s">
        <v>96</v>
      </c>
      <c r="D146" s="44" t="s">
        <v>7</v>
      </c>
      <c r="E146" s="44">
        <v>1</v>
      </c>
    </row>
    <row r="147" spans="1:5">
      <c r="A147" s="43" t="s">
        <v>3538</v>
      </c>
      <c r="B147" s="43" t="s">
        <v>3710</v>
      </c>
      <c r="C147" s="42" t="s">
        <v>96</v>
      </c>
      <c r="D147" s="44" t="s">
        <v>7</v>
      </c>
      <c r="E147" s="44">
        <v>1</v>
      </c>
    </row>
    <row r="148" spans="1:5">
      <c r="A148" s="43" t="s">
        <v>3538</v>
      </c>
      <c r="B148" s="43" t="s">
        <v>3711</v>
      </c>
      <c r="C148" s="42" t="s">
        <v>96</v>
      </c>
      <c r="D148" s="44" t="s">
        <v>7</v>
      </c>
      <c r="E148" s="44">
        <v>1</v>
      </c>
    </row>
    <row r="149" spans="1:5">
      <c r="A149" s="43" t="s">
        <v>3538</v>
      </c>
      <c r="B149" s="43" t="s">
        <v>3712</v>
      </c>
      <c r="C149" s="42" t="s">
        <v>96</v>
      </c>
      <c r="D149" s="44" t="s">
        <v>7</v>
      </c>
      <c r="E149" s="44">
        <v>1</v>
      </c>
    </row>
    <row r="150" spans="1:5">
      <c r="A150" s="43" t="s">
        <v>3538</v>
      </c>
      <c r="B150" s="43" t="s">
        <v>3713</v>
      </c>
      <c r="C150" s="42" t="s">
        <v>96</v>
      </c>
      <c r="D150" s="44" t="s">
        <v>7</v>
      </c>
      <c r="E150" s="44">
        <v>1</v>
      </c>
    </row>
    <row r="151" spans="1:5">
      <c r="A151" s="43" t="s">
        <v>3538</v>
      </c>
      <c r="B151" s="43" t="s">
        <v>3714</v>
      </c>
      <c r="C151" s="42" t="s">
        <v>96</v>
      </c>
      <c r="D151" s="44" t="s">
        <v>7</v>
      </c>
      <c r="E151" s="44">
        <v>1</v>
      </c>
    </row>
    <row r="152" spans="1:5">
      <c r="A152" s="43" t="s">
        <v>3538</v>
      </c>
      <c r="B152" s="43" t="s">
        <v>3715</v>
      </c>
      <c r="C152" s="42" t="s">
        <v>96</v>
      </c>
      <c r="D152" s="44" t="s">
        <v>7</v>
      </c>
      <c r="E152" s="44">
        <v>1</v>
      </c>
    </row>
    <row r="153" spans="1:5">
      <c r="A153" s="43" t="s">
        <v>3538</v>
      </c>
      <c r="B153" s="43" t="s">
        <v>3716</v>
      </c>
      <c r="C153" s="42" t="s">
        <v>96</v>
      </c>
      <c r="D153" s="44" t="s">
        <v>7</v>
      </c>
      <c r="E153" s="44">
        <v>1</v>
      </c>
    </row>
    <row r="154" spans="1:5">
      <c r="A154" s="43" t="s">
        <v>3538</v>
      </c>
      <c r="B154" s="43" t="s">
        <v>3717</v>
      </c>
      <c r="C154" s="42" t="s">
        <v>96</v>
      </c>
      <c r="D154" s="44" t="s">
        <v>7</v>
      </c>
      <c r="E154" s="44">
        <v>1</v>
      </c>
    </row>
    <row r="155" spans="1:5">
      <c r="A155" s="43" t="s">
        <v>3538</v>
      </c>
      <c r="B155" s="43" t="s">
        <v>3718</v>
      </c>
      <c r="C155" s="42" t="s">
        <v>96</v>
      </c>
      <c r="D155" s="44" t="s">
        <v>7</v>
      </c>
      <c r="E155" s="44">
        <v>1</v>
      </c>
    </row>
    <row r="156" spans="1:5">
      <c r="A156" s="43" t="s">
        <v>3538</v>
      </c>
      <c r="B156" s="43" t="s">
        <v>3719</v>
      </c>
      <c r="C156" s="42" t="s">
        <v>96</v>
      </c>
      <c r="D156" s="44" t="s">
        <v>7</v>
      </c>
      <c r="E156" s="44">
        <v>1</v>
      </c>
    </row>
    <row r="157" spans="1:5">
      <c r="A157" s="43" t="s">
        <v>3538</v>
      </c>
      <c r="B157" s="43" t="s">
        <v>3720</v>
      </c>
      <c r="C157" s="42" t="s">
        <v>96</v>
      </c>
      <c r="D157" s="44" t="s">
        <v>7</v>
      </c>
      <c r="E157" s="44">
        <v>1</v>
      </c>
    </row>
    <row r="158" spans="1:5">
      <c r="A158" s="43" t="s">
        <v>3538</v>
      </c>
      <c r="B158" s="43" t="s">
        <v>3721</v>
      </c>
      <c r="C158" s="42" t="s">
        <v>96</v>
      </c>
      <c r="D158" s="44" t="s">
        <v>7</v>
      </c>
      <c r="E158" s="44">
        <v>1</v>
      </c>
    </row>
    <row r="159" spans="1:5">
      <c r="A159" s="43" t="s">
        <v>3538</v>
      </c>
      <c r="B159" s="43" t="s">
        <v>3722</v>
      </c>
      <c r="C159" s="42" t="s">
        <v>96</v>
      </c>
      <c r="D159" s="44" t="s">
        <v>7</v>
      </c>
      <c r="E159" s="44">
        <v>1</v>
      </c>
    </row>
    <row r="160" spans="1:5">
      <c r="A160" s="43" t="s">
        <v>3538</v>
      </c>
      <c r="B160" s="43" t="s">
        <v>3723</v>
      </c>
      <c r="C160" s="42" t="s">
        <v>96</v>
      </c>
      <c r="D160" s="44" t="s">
        <v>7</v>
      </c>
      <c r="E160" s="44">
        <v>1</v>
      </c>
    </row>
    <row r="161" spans="1:5">
      <c r="A161" s="43" t="s">
        <v>3538</v>
      </c>
      <c r="B161" s="43" t="s">
        <v>3724</v>
      </c>
      <c r="C161" s="42" t="s">
        <v>96</v>
      </c>
      <c r="D161" s="44" t="s">
        <v>7</v>
      </c>
      <c r="E161" s="44">
        <v>1</v>
      </c>
    </row>
    <row r="162" spans="1:5">
      <c r="A162" s="43" t="s">
        <v>3538</v>
      </c>
      <c r="B162" s="43" t="s">
        <v>3725</v>
      </c>
      <c r="C162" s="42" t="s">
        <v>96</v>
      </c>
      <c r="D162" s="44" t="s">
        <v>7</v>
      </c>
      <c r="E162" s="44">
        <v>1</v>
      </c>
    </row>
    <row r="163" spans="1:5">
      <c r="A163" s="43" t="s">
        <v>3538</v>
      </c>
      <c r="B163" s="43" t="s">
        <v>3726</v>
      </c>
      <c r="C163" s="42" t="s">
        <v>96</v>
      </c>
      <c r="D163" s="44" t="s">
        <v>7</v>
      </c>
      <c r="E163" s="44">
        <v>1</v>
      </c>
    </row>
    <row r="164" spans="1:5">
      <c r="A164" s="43" t="s">
        <v>3538</v>
      </c>
      <c r="B164" s="43" t="s">
        <v>3727</v>
      </c>
      <c r="C164" s="42" t="s">
        <v>96</v>
      </c>
      <c r="D164" s="44" t="s">
        <v>7</v>
      </c>
      <c r="E164" s="44">
        <v>1</v>
      </c>
    </row>
    <row r="165" spans="1:5">
      <c r="A165" s="43" t="s">
        <v>3538</v>
      </c>
      <c r="B165" s="43" t="s">
        <v>3728</v>
      </c>
      <c r="C165" s="42" t="s">
        <v>96</v>
      </c>
      <c r="D165" s="44" t="s">
        <v>7</v>
      </c>
      <c r="E165" s="44">
        <v>1</v>
      </c>
    </row>
    <row r="166" spans="1:5">
      <c r="A166" s="43" t="s">
        <v>3538</v>
      </c>
      <c r="B166" s="43" t="s">
        <v>3729</v>
      </c>
      <c r="C166" s="42" t="s">
        <v>96</v>
      </c>
      <c r="D166" s="44" t="s">
        <v>7</v>
      </c>
      <c r="E166" s="44">
        <v>1</v>
      </c>
    </row>
    <row r="167" spans="1:5">
      <c r="A167" s="43" t="s">
        <v>3538</v>
      </c>
      <c r="B167" s="43" t="s">
        <v>3730</v>
      </c>
      <c r="C167" s="42" t="s">
        <v>96</v>
      </c>
      <c r="D167" s="44" t="s">
        <v>7</v>
      </c>
      <c r="E167" s="44">
        <v>1</v>
      </c>
    </row>
    <row r="168" spans="1:5">
      <c r="A168" s="43" t="s">
        <v>3538</v>
      </c>
      <c r="B168" s="43" t="s">
        <v>3731</v>
      </c>
      <c r="C168" s="42" t="s">
        <v>96</v>
      </c>
      <c r="D168" s="44" t="s">
        <v>7</v>
      </c>
      <c r="E168" s="44">
        <v>1</v>
      </c>
    </row>
    <row r="169" spans="1:5">
      <c r="A169" s="43" t="s">
        <v>3538</v>
      </c>
      <c r="B169" s="43" t="s">
        <v>3732</v>
      </c>
      <c r="C169" s="42" t="s">
        <v>96</v>
      </c>
      <c r="D169" s="44" t="s">
        <v>7</v>
      </c>
      <c r="E169" s="44">
        <v>1</v>
      </c>
    </row>
    <row r="170" spans="1:5">
      <c r="A170" s="43" t="s">
        <v>3538</v>
      </c>
      <c r="B170" s="43" t="s">
        <v>3733</v>
      </c>
      <c r="C170" s="42" t="s">
        <v>96</v>
      </c>
      <c r="D170" s="44" t="s">
        <v>7</v>
      </c>
      <c r="E170" s="44">
        <v>1</v>
      </c>
    </row>
    <row r="171" spans="1:5">
      <c r="A171" s="43" t="s">
        <v>3538</v>
      </c>
      <c r="B171" s="43" t="s">
        <v>3734</v>
      </c>
      <c r="C171" s="42" t="s">
        <v>96</v>
      </c>
      <c r="D171" s="44" t="s">
        <v>7</v>
      </c>
      <c r="E171" s="44">
        <v>1</v>
      </c>
    </row>
    <row r="172" spans="1:5">
      <c r="A172" s="43" t="s">
        <v>3538</v>
      </c>
      <c r="B172" s="43" t="s">
        <v>3735</v>
      </c>
      <c r="C172" s="42" t="s">
        <v>96</v>
      </c>
      <c r="D172" s="44" t="s">
        <v>7</v>
      </c>
      <c r="E172" s="44">
        <v>1</v>
      </c>
    </row>
    <row r="173" spans="1:5">
      <c r="A173" s="43" t="s">
        <v>3538</v>
      </c>
      <c r="B173" s="43" t="s">
        <v>3736</v>
      </c>
      <c r="C173" s="42" t="s">
        <v>96</v>
      </c>
      <c r="D173" s="44" t="s">
        <v>7</v>
      </c>
      <c r="E173" s="44">
        <v>1</v>
      </c>
    </row>
    <row r="174" spans="1:5">
      <c r="A174" s="43" t="s">
        <v>3538</v>
      </c>
      <c r="B174" s="43" t="s">
        <v>3737</v>
      </c>
      <c r="C174" s="42" t="s">
        <v>96</v>
      </c>
      <c r="D174" s="44" t="s">
        <v>7</v>
      </c>
      <c r="E174" s="44">
        <v>1</v>
      </c>
    </row>
    <row r="175" spans="1:5">
      <c r="A175" s="43" t="s">
        <v>3538</v>
      </c>
      <c r="B175" s="43" t="s">
        <v>3738</v>
      </c>
      <c r="C175" s="42" t="s">
        <v>96</v>
      </c>
      <c r="D175" s="44" t="s">
        <v>7</v>
      </c>
      <c r="E175" s="44">
        <v>1</v>
      </c>
    </row>
    <row r="176" spans="1:5">
      <c r="A176" s="43" t="s">
        <v>3538</v>
      </c>
      <c r="B176" s="43" t="s">
        <v>3739</v>
      </c>
      <c r="C176" s="42" t="s">
        <v>96</v>
      </c>
      <c r="D176" s="44" t="s">
        <v>7</v>
      </c>
      <c r="E176" s="44">
        <v>1</v>
      </c>
    </row>
    <row r="177" spans="1:5">
      <c r="A177" s="43" t="s">
        <v>3538</v>
      </c>
      <c r="B177" s="43" t="s">
        <v>3740</v>
      </c>
      <c r="C177" s="42" t="s">
        <v>96</v>
      </c>
      <c r="D177" s="44" t="s">
        <v>7</v>
      </c>
      <c r="E177" s="44">
        <v>1</v>
      </c>
    </row>
    <row r="178" spans="1:5">
      <c r="A178" s="43" t="s">
        <v>3538</v>
      </c>
      <c r="B178" s="43" t="s">
        <v>3741</v>
      </c>
      <c r="C178" s="42" t="s">
        <v>96</v>
      </c>
      <c r="D178" s="44" t="s">
        <v>7</v>
      </c>
      <c r="E178" s="44">
        <v>1</v>
      </c>
    </row>
    <row r="179" spans="1:5">
      <c r="A179" s="43" t="s">
        <v>3538</v>
      </c>
      <c r="B179" s="43" t="s">
        <v>3742</v>
      </c>
      <c r="C179" s="42" t="s">
        <v>96</v>
      </c>
      <c r="D179" s="44" t="s">
        <v>7</v>
      </c>
      <c r="E179" s="44">
        <v>1</v>
      </c>
    </row>
    <row r="180" spans="1:5">
      <c r="A180" s="43" t="s">
        <v>3538</v>
      </c>
      <c r="B180" s="43" t="s">
        <v>3743</v>
      </c>
      <c r="C180" s="42" t="s">
        <v>96</v>
      </c>
      <c r="D180" s="44" t="s">
        <v>7</v>
      </c>
      <c r="E180" s="44">
        <v>1</v>
      </c>
    </row>
    <row r="181" spans="1:5">
      <c r="A181" s="43" t="s">
        <v>3538</v>
      </c>
      <c r="B181" s="43" t="s">
        <v>3744</v>
      </c>
      <c r="C181" s="42" t="s">
        <v>96</v>
      </c>
      <c r="D181" s="44" t="s">
        <v>7</v>
      </c>
      <c r="E181" s="44">
        <v>1</v>
      </c>
    </row>
    <row r="182" spans="1:5">
      <c r="A182" s="43" t="s">
        <v>3538</v>
      </c>
      <c r="B182" s="43" t="s">
        <v>3745</v>
      </c>
      <c r="C182" s="42" t="s">
        <v>96</v>
      </c>
      <c r="D182" s="44" t="s">
        <v>7</v>
      </c>
      <c r="E182" s="44">
        <v>1</v>
      </c>
    </row>
    <row r="183" spans="1:5">
      <c r="A183" s="43" t="s">
        <v>3538</v>
      </c>
      <c r="B183" s="43" t="s">
        <v>3746</v>
      </c>
      <c r="C183" s="42" t="s">
        <v>96</v>
      </c>
      <c r="D183" s="44" t="s">
        <v>7</v>
      </c>
      <c r="E183" s="44">
        <v>1</v>
      </c>
    </row>
    <row r="184" spans="1:5">
      <c r="A184" s="43" t="s">
        <v>3538</v>
      </c>
      <c r="B184" s="43" t="s">
        <v>3747</v>
      </c>
      <c r="C184" s="42" t="s">
        <v>96</v>
      </c>
      <c r="D184" s="44" t="s">
        <v>7</v>
      </c>
      <c r="E184" s="44">
        <v>1</v>
      </c>
    </row>
    <row r="185" spans="1:5">
      <c r="A185" s="43" t="s">
        <v>3538</v>
      </c>
      <c r="B185" s="43" t="s">
        <v>3748</v>
      </c>
      <c r="C185" s="42" t="s">
        <v>96</v>
      </c>
      <c r="D185" s="44" t="s">
        <v>7</v>
      </c>
      <c r="E185" s="44">
        <v>1</v>
      </c>
    </row>
    <row r="186" spans="1:5">
      <c r="A186" s="43" t="s">
        <v>3538</v>
      </c>
      <c r="B186" s="43" t="s">
        <v>3749</v>
      </c>
      <c r="C186" s="42" t="s">
        <v>96</v>
      </c>
      <c r="D186" s="44" t="s">
        <v>7</v>
      </c>
      <c r="E186" s="44">
        <v>1</v>
      </c>
    </row>
    <row r="187" spans="1:5">
      <c r="A187" s="43" t="s">
        <v>3538</v>
      </c>
      <c r="B187" s="43" t="s">
        <v>3750</v>
      </c>
      <c r="C187" s="42" t="s">
        <v>96</v>
      </c>
      <c r="D187" s="44" t="s">
        <v>7</v>
      </c>
      <c r="E187" s="44">
        <v>1</v>
      </c>
    </row>
    <row r="188" spans="1:5">
      <c r="A188" s="43" t="s">
        <v>3538</v>
      </c>
      <c r="B188" s="43" t="s">
        <v>3751</v>
      </c>
      <c r="C188" s="42" t="s">
        <v>96</v>
      </c>
      <c r="D188" s="44" t="s">
        <v>7</v>
      </c>
      <c r="E188" s="44">
        <v>1</v>
      </c>
    </row>
    <row r="189" spans="1:5">
      <c r="A189" s="43" t="s">
        <v>3538</v>
      </c>
      <c r="B189" s="43" t="s">
        <v>3752</v>
      </c>
      <c r="C189" s="42" t="s">
        <v>96</v>
      </c>
      <c r="D189" s="44" t="s">
        <v>7</v>
      </c>
      <c r="E189" s="44">
        <v>1</v>
      </c>
    </row>
    <row r="190" spans="1:5">
      <c r="A190" s="43" t="s">
        <v>3538</v>
      </c>
      <c r="B190" s="43" t="s">
        <v>3753</v>
      </c>
      <c r="C190" s="42" t="s">
        <v>96</v>
      </c>
      <c r="D190" s="44" t="s">
        <v>7</v>
      </c>
      <c r="E190" s="44">
        <v>1</v>
      </c>
    </row>
    <row r="191" spans="1:5">
      <c r="A191" s="43" t="s">
        <v>3538</v>
      </c>
      <c r="B191" s="43" t="s">
        <v>3754</v>
      </c>
      <c r="C191" s="42" t="s">
        <v>96</v>
      </c>
      <c r="D191" s="44" t="s">
        <v>7</v>
      </c>
      <c r="E191" s="44">
        <v>1</v>
      </c>
    </row>
    <row r="192" spans="1:5">
      <c r="A192" s="43" t="s">
        <v>3538</v>
      </c>
      <c r="B192" s="43" t="s">
        <v>3755</v>
      </c>
      <c r="C192" s="42" t="s">
        <v>96</v>
      </c>
      <c r="D192" s="44" t="s">
        <v>7</v>
      </c>
      <c r="E192" s="44">
        <v>1</v>
      </c>
    </row>
    <row r="193" spans="1:5">
      <c r="A193" s="43" t="s">
        <v>3538</v>
      </c>
      <c r="B193" s="43" t="s">
        <v>3756</v>
      </c>
      <c r="C193" s="42" t="s">
        <v>96</v>
      </c>
      <c r="D193" s="44" t="s">
        <v>7</v>
      </c>
      <c r="E193" s="44">
        <v>1</v>
      </c>
    </row>
    <row r="194" spans="1:5">
      <c r="A194" s="43" t="s">
        <v>3538</v>
      </c>
      <c r="B194" s="43" t="s">
        <v>3757</v>
      </c>
      <c r="C194" s="42" t="s">
        <v>96</v>
      </c>
      <c r="D194" s="44" t="s">
        <v>7</v>
      </c>
      <c r="E194" s="44">
        <v>1</v>
      </c>
    </row>
    <row r="195" spans="1:5">
      <c r="A195" s="43" t="s">
        <v>3538</v>
      </c>
      <c r="B195" s="43" t="s">
        <v>3758</v>
      </c>
      <c r="C195" s="42" t="s">
        <v>96</v>
      </c>
      <c r="D195" s="44" t="s">
        <v>7</v>
      </c>
      <c r="E195" s="44">
        <v>1</v>
      </c>
    </row>
    <row r="196" spans="1:5">
      <c r="A196" s="43" t="s">
        <v>3538</v>
      </c>
      <c r="B196" s="43" t="s">
        <v>3759</v>
      </c>
      <c r="C196" s="42" t="s">
        <v>96</v>
      </c>
      <c r="D196" s="44" t="s">
        <v>7</v>
      </c>
      <c r="E196" s="44">
        <v>1</v>
      </c>
    </row>
    <row r="197" spans="1:5">
      <c r="A197" s="43" t="s">
        <v>3538</v>
      </c>
      <c r="B197" s="43" t="s">
        <v>3760</v>
      </c>
      <c r="C197" s="42" t="s">
        <v>96</v>
      </c>
      <c r="D197" s="44" t="s">
        <v>7</v>
      </c>
      <c r="E197" s="44">
        <v>1</v>
      </c>
    </row>
    <row r="198" spans="1:5">
      <c r="A198" s="43" t="s">
        <v>3538</v>
      </c>
      <c r="B198" s="43" t="s">
        <v>3761</v>
      </c>
      <c r="C198" s="42" t="s">
        <v>96</v>
      </c>
      <c r="D198" s="44" t="s">
        <v>7</v>
      </c>
      <c r="E198" s="44">
        <v>1</v>
      </c>
    </row>
    <row r="199" spans="1:5">
      <c r="A199" s="43" t="s">
        <v>3538</v>
      </c>
      <c r="B199" s="43" t="s">
        <v>3762</v>
      </c>
      <c r="C199" s="42" t="s">
        <v>3763</v>
      </c>
      <c r="D199" s="44" t="s">
        <v>7</v>
      </c>
      <c r="E199" s="44">
        <v>1</v>
      </c>
    </row>
    <row r="200" spans="1:5">
      <c r="A200" s="43" t="s">
        <v>3538</v>
      </c>
      <c r="B200" s="43" t="s">
        <v>3764</v>
      </c>
      <c r="C200" s="42" t="s">
        <v>3765</v>
      </c>
      <c r="D200" s="44" t="s">
        <v>7</v>
      </c>
      <c r="E200" s="44">
        <v>1</v>
      </c>
    </row>
    <row r="201" spans="1:5">
      <c r="A201" s="43" t="s">
        <v>3538</v>
      </c>
      <c r="B201" s="43" t="s">
        <v>3766</v>
      </c>
      <c r="C201" s="42" t="s">
        <v>3765</v>
      </c>
      <c r="D201" s="44" t="s">
        <v>7</v>
      </c>
      <c r="E201" s="44">
        <v>1</v>
      </c>
    </row>
    <row r="202" spans="1:5">
      <c r="A202" s="43" t="s">
        <v>3538</v>
      </c>
      <c r="B202" s="43" t="s">
        <v>3767</v>
      </c>
      <c r="C202" s="42" t="s">
        <v>3765</v>
      </c>
      <c r="D202" s="44" t="s">
        <v>7</v>
      </c>
      <c r="E202" s="44">
        <v>1</v>
      </c>
    </row>
    <row r="203" spans="1:5">
      <c r="A203" s="43" t="s">
        <v>3538</v>
      </c>
      <c r="B203" s="43" t="s">
        <v>3768</v>
      </c>
      <c r="C203" s="42" t="s">
        <v>3765</v>
      </c>
      <c r="D203" s="44" t="s">
        <v>7</v>
      </c>
      <c r="E203" s="44">
        <v>1</v>
      </c>
    </row>
    <row r="204" spans="1:5">
      <c r="A204" s="43" t="s">
        <v>3538</v>
      </c>
      <c r="B204" s="43" t="s">
        <v>3769</v>
      </c>
      <c r="C204" s="42" t="s">
        <v>3770</v>
      </c>
      <c r="D204" s="44" t="s">
        <v>7</v>
      </c>
      <c r="E204" s="44">
        <v>1</v>
      </c>
    </row>
    <row r="205" spans="1:5">
      <c r="A205" s="43" t="s">
        <v>3538</v>
      </c>
      <c r="B205" s="43" t="s">
        <v>3771</v>
      </c>
      <c r="C205" s="42" t="s">
        <v>3770</v>
      </c>
      <c r="D205" s="44" t="s">
        <v>7</v>
      </c>
      <c r="E205" s="44">
        <v>1</v>
      </c>
    </row>
    <row r="206" spans="1:5">
      <c r="A206" s="43" t="s">
        <v>3538</v>
      </c>
      <c r="B206" s="43" t="s">
        <v>3772</v>
      </c>
      <c r="C206" s="42" t="s">
        <v>3770</v>
      </c>
      <c r="D206" s="44" t="s">
        <v>7</v>
      </c>
      <c r="E206" s="44">
        <v>1</v>
      </c>
    </row>
    <row r="207" spans="1:5">
      <c r="A207" s="43" t="s">
        <v>3538</v>
      </c>
      <c r="B207" s="43" t="s">
        <v>3773</v>
      </c>
      <c r="C207" s="42" t="s">
        <v>3770</v>
      </c>
      <c r="D207" s="44" t="s">
        <v>7</v>
      </c>
      <c r="E207" s="44">
        <v>1</v>
      </c>
    </row>
    <row r="208" spans="1:5">
      <c r="A208" s="43" t="s">
        <v>3538</v>
      </c>
      <c r="B208" s="43" t="s">
        <v>3774</v>
      </c>
      <c r="C208" s="42" t="s">
        <v>330</v>
      </c>
      <c r="D208" s="44" t="s">
        <v>7</v>
      </c>
      <c r="E208" s="44">
        <v>1</v>
      </c>
    </row>
    <row r="209" spans="1:5">
      <c r="A209" s="43" t="s">
        <v>3538</v>
      </c>
      <c r="B209" s="43" t="s">
        <v>3775</v>
      </c>
      <c r="C209" s="42" t="s">
        <v>330</v>
      </c>
      <c r="D209" s="44" t="s">
        <v>7</v>
      </c>
      <c r="E209" s="44">
        <v>1</v>
      </c>
    </row>
    <row r="210" spans="1:5">
      <c r="A210" s="43" t="s">
        <v>3538</v>
      </c>
      <c r="B210" s="43" t="s">
        <v>3776</v>
      </c>
      <c r="C210" s="42" t="s">
        <v>2012</v>
      </c>
      <c r="D210" s="44" t="s">
        <v>7</v>
      </c>
      <c r="E210" s="44">
        <v>1</v>
      </c>
    </row>
    <row r="211" spans="1:5">
      <c r="A211" s="43" t="s">
        <v>3538</v>
      </c>
      <c r="B211" s="43" t="s">
        <v>3777</v>
      </c>
      <c r="C211" s="42" t="s">
        <v>3210</v>
      </c>
      <c r="D211" s="44" t="s">
        <v>7</v>
      </c>
      <c r="E211" s="44">
        <v>1</v>
      </c>
    </row>
    <row r="212" spans="1:5">
      <c r="A212" s="43" t="s">
        <v>3538</v>
      </c>
      <c r="B212" s="43" t="s">
        <v>3778</v>
      </c>
      <c r="C212" s="42" t="s">
        <v>3574</v>
      </c>
      <c r="D212" s="44" t="s">
        <v>7</v>
      </c>
      <c r="E212" s="44">
        <v>1</v>
      </c>
    </row>
    <row r="213" spans="1:5">
      <c r="A213" s="43" t="s">
        <v>3538</v>
      </c>
      <c r="B213" s="43" t="s">
        <v>3779</v>
      </c>
      <c r="C213" s="42" t="s">
        <v>3574</v>
      </c>
      <c r="D213" s="44" t="s">
        <v>7</v>
      </c>
      <c r="E213" s="44">
        <v>1</v>
      </c>
    </row>
    <row r="214" spans="1:5">
      <c r="A214" s="43" t="s">
        <v>3538</v>
      </c>
      <c r="B214" s="43" t="s">
        <v>3780</v>
      </c>
      <c r="C214" s="42" t="s">
        <v>3781</v>
      </c>
      <c r="D214" s="44" t="s">
        <v>7</v>
      </c>
      <c r="E214" s="44">
        <v>1</v>
      </c>
    </row>
    <row r="215" spans="1:5">
      <c r="A215" s="43" t="s">
        <v>3538</v>
      </c>
      <c r="B215" s="43" t="s">
        <v>3782</v>
      </c>
      <c r="C215" s="42" t="s">
        <v>3783</v>
      </c>
      <c r="D215" s="44" t="s">
        <v>7</v>
      </c>
      <c r="E215" s="44">
        <v>1</v>
      </c>
    </row>
    <row r="216" spans="1:5">
      <c r="A216" s="43" t="s">
        <v>3538</v>
      </c>
      <c r="B216" s="43" t="s">
        <v>3784</v>
      </c>
      <c r="C216" s="42" t="s">
        <v>3785</v>
      </c>
      <c r="D216" s="44" t="s">
        <v>7</v>
      </c>
      <c r="E216" s="44">
        <v>1</v>
      </c>
    </row>
    <row r="217" spans="1:5">
      <c r="A217" s="43" t="s">
        <v>3538</v>
      </c>
      <c r="B217" s="43" t="s">
        <v>3786</v>
      </c>
      <c r="C217" s="42" t="s">
        <v>3787</v>
      </c>
      <c r="D217" s="44" t="s">
        <v>7</v>
      </c>
      <c r="E217" s="44">
        <v>1</v>
      </c>
    </row>
    <row r="218" spans="1:5">
      <c r="A218" s="43" t="s">
        <v>3538</v>
      </c>
      <c r="B218" s="43" t="s">
        <v>3788</v>
      </c>
      <c r="C218" s="42" t="s">
        <v>3789</v>
      </c>
      <c r="D218" s="44" t="s">
        <v>7</v>
      </c>
      <c r="E218" s="44">
        <v>1</v>
      </c>
    </row>
    <row r="219" spans="1:5">
      <c r="A219" s="43" t="s">
        <v>3538</v>
      </c>
      <c r="B219" s="43" t="s">
        <v>3790</v>
      </c>
      <c r="C219" s="42" t="s">
        <v>362</v>
      </c>
      <c r="D219" s="44" t="s">
        <v>7</v>
      </c>
      <c r="E219" s="44">
        <v>1</v>
      </c>
    </row>
    <row r="220" spans="1:5">
      <c r="A220" s="43" t="s">
        <v>3538</v>
      </c>
      <c r="B220" s="43" t="s">
        <v>3791</v>
      </c>
      <c r="C220" s="42" t="s">
        <v>3792</v>
      </c>
      <c r="D220" s="44" t="s">
        <v>7</v>
      </c>
      <c r="E220" s="44">
        <v>1</v>
      </c>
    </row>
    <row r="221" spans="1:5">
      <c r="A221" s="43" t="s">
        <v>3538</v>
      </c>
      <c r="B221" s="43" t="s">
        <v>3793</v>
      </c>
      <c r="C221" s="42" t="s">
        <v>3794</v>
      </c>
      <c r="D221" s="44" t="s">
        <v>7</v>
      </c>
      <c r="E221" s="44">
        <v>1</v>
      </c>
    </row>
    <row r="222" spans="1:5">
      <c r="A222" s="43" t="s">
        <v>3538</v>
      </c>
      <c r="B222" s="43" t="s">
        <v>3795</v>
      </c>
      <c r="C222" s="42" t="s">
        <v>3796</v>
      </c>
      <c r="D222" s="44" t="s">
        <v>7</v>
      </c>
      <c r="E222" s="44">
        <v>1</v>
      </c>
    </row>
    <row r="223" spans="1:5">
      <c r="A223" s="43" t="s">
        <v>3538</v>
      </c>
      <c r="B223" s="43" t="s">
        <v>3797</v>
      </c>
      <c r="C223" s="42" t="s">
        <v>3798</v>
      </c>
      <c r="D223" s="44" t="s">
        <v>7</v>
      </c>
      <c r="E223" s="44">
        <v>1</v>
      </c>
    </row>
    <row r="224" spans="1:5">
      <c r="A224" s="43" t="s">
        <v>3538</v>
      </c>
      <c r="B224" s="43" t="s">
        <v>3799</v>
      </c>
      <c r="C224" s="42" t="s">
        <v>3800</v>
      </c>
      <c r="D224" s="44" t="s">
        <v>7</v>
      </c>
      <c r="E224" s="44">
        <v>1</v>
      </c>
    </row>
    <row r="225" spans="1:5">
      <c r="A225" s="43" t="s">
        <v>3538</v>
      </c>
      <c r="B225" s="43" t="s">
        <v>3801</v>
      </c>
      <c r="C225" s="42" t="s">
        <v>3802</v>
      </c>
      <c r="D225" s="44" t="s">
        <v>7</v>
      </c>
      <c r="E225" s="44">
        <v>1</v>
      </c>
    </row>
    <row r="226" spans="1:5">
      <c r="A226" s="43" t="s">
        <v>3538</v>
      </c>
      <c r="B226" s="43" t="s">
        <v>3803</v>
      </c>
      <c r="C226" s="42" t="s">
        <v>3802</v>
      </c>
      <c r="D226" s="44" t="s">
        <v>7</v>
      </c>
      <c r="E226" s="44">
        <v>1</v>
      </c>
    </row>
    <row r="227" spans="1:5">
      <c r="A227" s="43" t="s">
        <v>3538</v>
      </c>
      <c r="B227" s="43" t="s">
        <v>3804</v>
      </c>
      <c r="C227" s="42" t="s">
        <v>3802</v>
      </c>
      <c r="D227" s="44" t="s">
        <v>7</v>
      </c>
      <c r="E227" s="44">
        <v>1</v>
      </c>
    </row>
    <row r="228" spans="1:5">
      <c r="A228" s="43" t="s">
        <v>3538</v>
      </c>
      <c r="B228" s="43" t="s">
        <v>3805</v>
      </c>
      <c r="C228" s="42" t="s">
        <v>3802</v>
      </c>
      <c r="D228" s="44" t="s">
        <v>7</v>
      </c>
      <c r="E228" s="44">
        <v>1</v>
      </c>
    </row>
    <row r="229" spans="1:5">
      <c r="A229" s="43" t="s">
        <v>3538</v>
      </c>
      <c r="B229" s="43" t="s">
        <v>3806</v>
      </c>
      <c r="C229" s="42" t="s">
        <v>3802</v>
      </c>
      <c r="D229" s="44" t="s">
        <v>7</v>
      </c>
      <c r="E229" s="44">
        <v>1</v>
      </c>
    </row>
    <row r="230" spans="1:5">
      <c r="A230" s="43" t="s">
        <v>3538</v>
      </c>
      <c r="B230" s="43" t="s">
        <v>3807</v>
      </c>
      <c r="C230" s="42" t="s">
        <v>3802</v>
      </c>
      <c r="D230" s="44" t="s">
        <v>7</v>
      </c>
      <c r="E230" s="44">
        <v>1</v>
      </c>
    </row>
    <row r="231" spans="1:5">
      <c r="A231" s="43" t="s">
        <v>3538</v>
      </c>
      <c r="B231" s="43" t="s">
        <v>3808</v>
      </c>
      <c r="C231" s="42" t="s">
        <v>3802</v>
      </c>
      <c r="D231" s="44" t="s">
        <v>7</v>
      </c>
      <c r="E231" s="44">
        <v>1</v>
      </c>
    </row>
    <row r="232" spans="1:5">
      <c r="A232" s="43" t="s">
        <v>3538</v>
      </c>
      <c r="B232" s="43" t="s">
        <v>3809</v>
      </c>
      <c r="C232" s="42" t="s">
        <v>3802</v>
      </c>
      <c r="D232" s="44" t="s">
        <v>7</v>
      </c>
      <c r="E232" s="44">
        <v>1</v>
      </c>
    </row>
    <row r="233" spans="1:5">
      <c r="A233" s="43" t="s">
        <v>3538</v>
      </c>
      <c r="B233" s="43" t="s">
        <v>3810</v>
      </c>
      <c r="C233" s="42" t="s">
        <v>3802</v>
      </c>
      <c r="D233" s="44" t="s">
        <v>7</v>
      </c>
      <c r="E233" s="44">
        <v>1</v>
      </c>
    </row>
    <row r="234" spans="1:5">
      <c r="A234" s="43" t="s">
        <v>3538</v>
      </c>
      <c r="B234" s="43" t="s">
        <v>3811</v>
      </c>
      <c r="C234" s="42" t="s">
        <v>3802</v>
      </c>
      <c r="D234" s="44" t="s">
        <v>7</v>
      </c>
      <c r="E234" s="44">
        <v>1</v>
      </c>
    </row>
    <row r="235" spans="1:5">
      <c r="A235" s="43" t="s">
        <v>3538</v>
      </c>
      <c r="B235" s="43" t="s">
        <v>3812</v>
      </c>
      <c r="C235" s="42" t="s">
        <v>3802</v>
      </c>
      <c r="D235" s="44" t="s">
        <v>7</v>
      </c>
      <c r="E235" s="44">
        <v>1</v>
      </c>
    </row>
    <row r="236" spans="1:5">
      <c r="A236" s="43" t="s">
        <v>3538</v>
      </c>
      <c r="B236" s="43" t="s">
        <v>3813</v>
      </c>
      <c r="C236" s="42" t="s">
        <v>3802</v>
      </c>
      <c r="D236" s="44" t="s">
        <v>7</v>
      </c>
      <c r="E236" s="44">
        <v>1</v>
      </c>
    </row>
    <row r="237" spans="1:5">
      <c r="A237" s="43" t="s">
        <v>3538</v>
      </c>
      <c r="B237" s="43" t="s">
        <v>3814</v>
      </c>
      <c r="C237" s="42" t="s">
        <v>3802</v>
      </c>
      <c r="D237" s="44" t="s">
        <v>7</v>
      </c>
      <c r="E237" s="44">
        <v>1</v>
      </c>
    </row>
    <row r="238" spans="1:5">
      <c r="A238" s="43" t="s">
        <v>3538</v>
      </c>
      <c r="B238" s="43" t="s">
        <v>3815</v>
      </c>
      <c r="C238" s="42" t="s">
        <v>3802</v>
      </c>
      <c r="D238" s="44" t="s">
        <v>7</v>
      </c>
      <c r="E238" s="44">
        <v>1</v>
      </c>
    </row>
    <row r="239" spans="1:5">
      <c r="A239" s="43" t="s">
        <v>3538</v>
      </c>
      <c r="B239" s="43" t="s">
        <v>3816</v>
      </c>
      <c r="C239" s="42" t="s">
        <v>3802</v>
      </c>
      <c r="D239" s="44" t="s">
        <v>7</v>
      </c>
      <c r="E239" s="44">
        <v>1</v>
      </c>
    </row>
    <row r="240" spans="1:5">
      <c r="A240" s="43" t="s">
        <v>3538</v>
      </c>
      <c r="B240" s="43" t="s">
        <v>3817</v>
      </c>
      <c r="C240" s="42" t="s">
        <v>3802</v>
      </c>
      <c r="D240" s="44" t="s">
        <v>7</v>
      </c>
      <c r="E240" s="44">
        <v>1</v>
      </c>
    </row>
    <row r="241" spans="1:5">
      <c r="A241" s="43" t="s">
        <v>3538</v>
      </c>
      <c r="B241" s="43" t="s">
        <v>3818</v>
      </c>
      <c r="C241" s="42" t="s">
        <v>3802</v>
      </c>
      <c r="D241" s="44" t="s">
        <v>7</v>
      </c>
      <c r="E241" s="44">
        <v>1</v>
      </c>
    </row>
    <row r="242" spans="1:5">
      <c r="A242" s="43" t="s">
        <v>3538</v>
      </c>
      <c r="B242" s="43" t="s">
        <v>3819</v>
      </c>
      <c r="C242" s="42" t="s">
        <v>3802</v>
      </c>
      <c r="D242" s="44" t="s">
        <v>7</v>
      </c>
      <c r="E242" s="44">
        <v>1</v>
      </c>
    </row>
    <row r="243" spans="1:5">
      <c r="A243" s="43" t="s">
        <v>3538</v>
      </c>
      <c r="B243" s="43" t="s">
        <v>3820</v>
      </c>
      <c r="C243" s="42" t="s">
        <v>3802</v>
      </c>
      <c r="D243" s="44" t="s">
        <v>7</v>
      </c>
      <c r="E243" s="44">
        <v>1</v>
      </c>
    </row>
    <row r="244" spans="1:5">
      <c r="A244" s="43" t="s">
        <v>3538</v>
      </c>
      <c r="B244" s="43" t="s">
        <v>3821</v>
      </c>
      <c r="C244" s="42" t="s">
        <v>3822</v>
      </c>
      <c r="D244" s="44" t="s">
        <v>7</v>
      </c>
      <c r="E244" s="44">
        <v>1</v>
      </c>
    </row>
    <row r="245" spans="1:5">
      <c r="A245" s="43" t="s">
        <v>3538</v>
      </c>
      <c r="B245" s="43" t="s">
        <v>3823</v>
      </c>
      <c r="C245" s="42" t="s">
        <v>3822</v>
      </c>
      <c r="D245" s="44" t="s">
        <v>7</v>
      </c>
      <c r="E245" s="44">
        <v>1</v>
      </c>
    </row>
    <row r="246" spans="1:5">
      <c r="A246" s="43" t="s">
        <v>3538</v>
      </c>
      <c r="B246" s="43" t="s">
        <v>3824</v>
      </c>
      <c r="C246" s="42" t="s">
        <v>364</v>
      </c>
      <c r="D246" s="44" t="s">
        <v>7</v>
      </c>
      <c r="E246" s="44">
        <v>1</v>
      </c>
    </row>
    <row r="247" spans="1:5">
      <c r="A247" s="43" t="s">
        <v>3538</v>
      </c>
      <c r="B247" s="43" t="s">
        <v>3825</v>
      </c>
      <c r="C247" s="42" t="s">
        <v>94</v>
      </c>
      <c r="D247" s="44" t="s">
        <v>7</v>
      </c>
      <c r="E247" s="44">
        <v>1</v>
      </c>
    </row>
    <row r="248" spans="1:5">
      <c r="A248" s="43" t="s">
        <v>3538</v>
      </c>
      <c r="B248" s="43" t="s">
        <v>3826</v>
      </c>
      <c r="C248" s="42" t="s">
        <v>96</v>
      </c>
      <c r="D248" s="44" t="s">
        <v>7</v>
      </c>
      <c r="E248" s="44">
        <v>1</v>
      </c>
    </row>
    <row r="249" spans="1:5">
      <c r="A249" s="43" t="s">
        <v>3538</v>
      </c>
      <c r="B249" s="43" t="s">
        <v>3827</v>
      </c>
      <c r="C249" s="42" t="s">
        <v>95</v>
      </c>
      <c r="D249" s="44" t="s">
        <v>7</v>
      </c>
      <c r="E249" s="44">
        <v>1</v>
      </c>
    </row>
    <row r="250" spans="1:5">
      <c r="A250" s="43" t="s">
        <v>3538</v>
      </c>
      <c r="B250" s="43" t="s">
        <v>3828</v>
      </c>
      <c r="C250" s="42" t="s">
        <v>2478</v>
      </c>
      <c r="D250" s="44" t="s">
        <v>7</v>
      </c>
      <c r="E250" s="44">
        <v>1</v>
      </c>
    </row>
    <row r="251" spans="1:5">
      <c r="A251" s="43" t="s">
        <v>3538</v>
      </c>
      <c r="B251" s="43" t="s">
        <v>3829</v>
      </c>
      <c r="C251" s="42" t="s">
        <v>3830</v>
      </c>
      <c r="D251" s="44" t="s">
        <v>7</v>
      </c>
      <c r="E251" s="44">
        <v>1</v>
      </c>
    </row>
    <row r="252" spans="1:5">
      <c r="A252" s="43" t="s">
        <v>3538</v>
      </c>
      <c r="B252" s="43" t="s">
        <v>3831</v>
      </c>
      <c r="C252" s="42" t="s">
        <v>3832</v>
      </c>
      <c r="D252" s="44" t="s">
        <v>7</v>
      </c>
      <c r="E252" s="44">
        <v>1</v>
      </c>
    </row>
    <row r="253" spans="1:5">
      <c r="A253" s="43" t="s">
        <v>3538</v>
      </c>
      <c r="B253" s="43" t="s">
        <v>3833</v>
      </c>
      <c r="C253" s="42" t="s">
        <v>3834</v>
      </c>
      <c r="D253" s="44" t="s">
        <v>7</v>
      </c>
      <c r="E253" s="44">
        <v>1</v>
      </c>
    </row>
    <row r="254" spans="1:5">
      <c r="A254" s="43" t="s">
        <v>3538</v>
      </c>
      <c r="B254" s="43" t="s">
        <v>3835</v>
      </c>
      <c r="C254" s="42" t="s">
        <v>3836</v>
      </c>
      <c r="D254" s="44" t="s">
        <v>7</v>
      </c>
      <c r="E254" s="44">
        <v>1</v>
      </c>
    </row>
    <row r="255" spans="1:5">
      <c r="A255" s="43" t="s">
        <v>3538</v>
      </c>
      <c r="B255" s="43" t="s">
        <v>3837</v>
      </c>
      <c r="C255" s="42" t="s">
        <v>3838</v>
      </c>
      <c r="D255" s="44" t="s">
        <v>7</v>
      </c>
      <c r="E255" s="44">
        <v>1</v>
      </c>
    </row>
    <row r="256" spans="1:5">
      <c r="A256" s="43" t="s">
        <v>3538</v>
      </c>
      <c r="B256" s="43" t="s">
        <v>3839</v>
      </c>
      <c r="C256" s="42" t="s">
        <v>3840</v>
      </c>
      <c r="D256" s="44" t="s">
        <v>7</v>
      </c>
      <c r="E256" s="44">
        <v>1</v>
      </c>
    </row>
    <row r="257" spans="1:5">
      <c r="A257" s="43" t="s">
        <v>3538</v>
      </c>
      <c r="B257" s="43" t="s">
        <v>3841</v>
      </c>
      <c r="C257" s="42" t="s">
        <v>3842</v>
      </c>
      <c r="D257" s="44" t="s">
        <v>7</v>
      </c>
      <c r="E257" s="44">
        <v>1</v>
      </c>
    </row>
    <row r="258" spans="1:5">
      <c r="A258" s="43" t="s">
        <v>3538</v>
      </c>
      <c r="B258" s="43" t="s">
        <v>3843</v>
      </c>
      <c r="C258" s="42" t="s">
        <v>3844</v>
      </c>
      <c r="D258" s="44" t="s">
        <v>7</v>
      </c>
      <c r="E258" s="44">
        <v>1</v>
      </c>
    </row>
    <row r="259" spans="1:5">
      <c r="A259" s="43" t="s">
        <v>3538</v>
      </c>
      <c r="B259" s="43" t="s">
        <v>3845</v>
      </c>
      <c r="C259" s="42" t="s">
        <v>3846</v>
      </c>
      <c r="D259" s="44" t="s">
        <v>7</v>
      </c>
      <c r="E259" s="44">
        <v>1</v>
      </c>
    </row>
    <row r="260" spans="1:5">
      <c r="A260" s="43" t="s">
        <v>3538</v>
      </c>
      <c r="B260" s="43" t="s">
        <v>3847</v>
      </c>
      <c r="C260" s="42" t="s">
        <v>3848</v>
      </c>
      <c r="D260" s="44" t="s">
        <v>7</v>
      </c>
      <c r="E260" s="44">
        <v>1</v>
      </c>
    </row>
    <row r="261" spans="1:5">
      <c r="A261" s="43" t="s">
        <v>3538</v>
      </c>
      <c r="B261" s="43" t="s">
        <v>3849</v>
      </c>
      <c r="C261" s="42" t="s">
        <v>3848</v>
      </c>
      <c r="D261" s="44" t="s">
        <v>7</v>
      </c>
      <c r="E261" s="44">
        <v>1</v>
      </c>
    </row>
    <row r="262" spans="1:5">
      <c r="A262" s="43" t="s">
        <v>3538</v>
      </c>
      <c r="B262" s="43" t="s">
        <v>3850</v>
      </c>
      <c r="C262" s="42" t="s">
        <v>161</v>
      </c>
      <c r="D262" s="44" t="s">
        <v>7</v>
      </c>
      <c r="E262" s="44">
        <v>1</v>
      </c>
    </row>
    <row r="263" spans="1:5">
      <c r="A263" s="43" t="s">
        <v>3538</v>
      </c>
      <c r="B263" s="43" t="s">
        <v>3851</v>
      </c>
      <c r="C263" s="42" t="s">
        <v>161</v>
      </c>
      <c r="D263" s="44" t="s">
        <v>7</v>
      </c>
      <c r="E263" s="44">
        <v>1</v>
      </c>
    </row>
    <row r="264" spans="1:5">
      <c r="A264" s="43" t="s">
        <v>3538</v>
      </c>
      <c r="B264" s="43" t="s">
        <v>3852</v>
      </c>
      <c r="C264" s="42" t="s">
        <v>161</v>
      </c>
      <c r="D264" s="44" t="s">
        <v>7</v>
      </c>
      <c r="E264" s="44">
        <v>1</v>
      </c>
    </row>
    <row r="265" spans="1:5">
      <c r="A265" s="43" t="s">
        <v>3538</v>
      </c>
      <c r="B265" s="43" t="s">
        <v>3853</v>
      </c>
      <c r="C265" s="42" t="s">
        <v>161</v>
      </c>
      <c r="D265" s="44" t="s">
        <v>7</v>
      </c>
      <c r="E265" s="44">
        <v>1</v>
      </c>
    </row>
    <row r="266" spans="1:5">
      <c r="A266" s="43" t="s">
        <v>3538</v>
      </c>
      <c r="B266" s="43" t="s">
        <v>3854</v>
      </c>
      <c r="C266" s="42" t="s">
        <v>161</v>
      </c>
      <c r="D266" s="44" t="s">
        <v>7</v>
      </c>
      <c r="E266" s="44">
        <v>1</v>
      </c>
    </row>
    <row r="267" spans="1:5">
      <c r="A267" s="43" t="s">
        <v>3538</v>
      </c>
      <c r="B267" s="43" t="s">
        <v>3855</v>
      </c>
      <c r="C267" s="42" t="s">
        <v>3856</v>
      </c>
      <c r="D267" s="44" t="s">
        <v>7</v>
      </c>
      <c r="E267" s="44">
        <v>1</v>
      </c>
    </row>
    <row r="268" spans="1:5">
      <c r="A268" s="43" t="s">
        <v>3538</v>
      </c>
      <c r="B268" s="43" t="s">
        <v>3857</v>
      </c>
      <c r="C268" s="42" t="s">
        <v>3856</v>
      </c>
      <c r="D268" s="44" t="s">
        <v>7</v>
      </c>
      <c r="E268" s="44">
        <v>1</v>
      </c>
    </row>
    <row r="269" spans="1:5">
      <c r="A269" s="43" t="s">
        <v>3538</v>
      </c>
      <c r="B269" s="43" t="s">
        <v>3858</v>
      </c>
      <c r="C269" s="42" t="s">
        <v>3856</v>
      </c>
      <c r="D269" s="44" t="s">
        <v>7</v>
      </c>
      <c r="E269" s="44">
        <v>1</v>
      </c>
    </row>
    <row r="270" spans="1:5">
      <c r="A270" s="43" t="s">
        <v>3538</v>
      </c>
      <c r="B270" s="43" t="s">
        <v>3859</v>
      </c>
      <c r="C270" s="42" t="s">
        <v>3856</v>
      </c>
      <c r="D270" s="44" t="s">
        <v>7</v>
      </c>
      <c r="E270" s="44">
        <v>1</v>
      </c>
    </row>
    <row r="271" spans="1:5">
      <c r="A271" s="43" t="s">
        <v>3538</v>
      </c>
      <c r="B271" s="43" t="s">
        <v>3860</v>
      </c>
      <c r="C271" s="42" t="s">
        <v>3856</v>
      </c>
      <c r="D271" s="44" t="s">
        <v>7</v>
      </c>
      <c r="E271" s="44">
        <v>1</v>
      </c>
    </row>
    <row r="272" spans="1:5">
      <c r="A272" s="43" t="s">
        <v>3538</v>
      </c>
      <c r="B272" s="43" t="s">
        <v>3861</v>
      </c>
      <c r="C272" s="42" t="s">
        <v>3856</v>
      </c>
      <c r="D272" s="44" t="s">
        <v>7</v>
      </c>
      <c r="E272" s="44">
        <v>1</v>
      </c>
    </row>
    <row r="273" spans="1:5">
      <c r="A273" s="43" t="s">
        <v>3538</v>
      </c>
      <c r="B273" s="43" t="s">
        <v>3862</v>
      </c>
      <c r="C273" s="42" t="s">
        <v>3863</v>
      </c>
      <c r="D273" s="44" t="s">
        <v>7</v>
      </c>
      <c r="E273" s="44">
        <v>1</v>
      </c>
    </row>
    <row r="274" spans="1:5">
      <c r="A274" s="43" t="s">
        <v>3538</v>
      </c>
      <c r="B274" s="43" t="s">
        <v>3864</v>
      </c>
      <c r="C274" s="42" t="s">
        <v>372</v>
      </c>
      <c r="D274" s="44" t="s">
        <v>7</v>
      </c>
      <c r="E274" s="44">
        <v>1</v>
      </c>
    </row>
    <row r="275" spans="1:5">
      <c r="A275" s="43" t="s">
        <v>3538</v>
      </c>
      <c r="B275" s="43" t="s">
        <v>3865</v>
      </c>
      <c r="C275" s="42" t="s">
        <v>330</v>
      </c>
      <c r="D275" s="44" t="s">
        <v>7</v>
      </c>
      <c r="E275" s="44">
        <v>1</v>
      </c>
    </row>
    <row r="276" spans="1:5">
      <c r="A276" s="43" t="s">
        <v>3538</v>
      </c>
      <c r="B276" s="43" t="s">
        <v>3866</v>
      </c>
      <c r="C276" s="42" t="s">
        <v>375</v>
      </c>
      <c r="D276" s="44" t="s">
        <v>7</v>
      </c>
      <c r="E276" s="44">
        <v>1</v>
      </c>
    </row>
    <row r="277" spans="1:5">
      <c r="A277" s="43" t="s">
        <v>3538</v>
      </c>
      <c r="B277" s="43" t="s">
        <v>3867</v>
      </c>
      <c r="C277" s="42" t="s">
        <v>3802</v>
      </c>
      <c r="D277" s="44" t="s">
        <v>7</v>
      </c>
      <c r="E277" s="44">
        <v>1</v>
      </c>
    </row>
    <row r="278" spans="1:5">
      <c r="A278" s="43" t="s">
        <v>3538</v>
      </c>
      <c r="B278" s="43" t="s">
        <v>3868</v>
      </c>
      <c r="C278" s="42" t="s">
        <v>3869</v>
      </c>
      <c r="D278" s="44" t="s">
        <v>7</v>
      </c>
      <c r="E278" s="44">
        <v>1</v>
      </c>
    </row>
    <row r="279" spans="1:5">
      <c r="A279" s="43" t="s">
        <v>3538</v>
      </c>
      <c r="B279" s="43" t="s">
        <v>3870</v>
      </c>
      <c r="C279" s="42" t="s">
        <v>3869</v>
      </c>
      <c r="D279" s="44" t="s">
        <v>7</v>
      </c>
      <c r="E279" s="44">
        <v>1</v>
      </c>
    </row>
    <row r="280" spans="1:5">
      <c r="A280" s="43" t="s">
        <v>3538</v>
      </c>
      <c r="B280" s="43">
        <v>20171137</v>
      </c>
      <c r="C280" s="42" t="s">
        <v>344</v>
      </c>
      <c r="D280" s="44" t="s">
        <v>7</v>
      </c>
      <c r="E280" s="44">
        <v>1</v>
      </c>
    </row>
    <row r="281" spans="1:5">
      <c r="A281" s="43" t="s">
        <v>3538</v>
      </c>
      <c r="B281" s="43">
        <v>20180400</v>
      </c>
      <c r="C281" s="42" t="s">
        <v>96</v>
      </c>
      <c r="D281" s="44" t="s">
        <v>7</v>
      </c>
      <c r="E281" s="44">
        <v>1</v>
      </c>
    </row>
    <row r="282" spans="1:5">
      <c r="A282" s="43" t="s">
        <v>3538</v>
      </c>
      <c r="B282" s="43">
        <v>20180419</v>
      </c>
      <c r="C282" s="42" t="s">
        <v>3871</v>
      </c>
      <c r="D282" s="44" t="s">
        <v>7</v>
      </c>
      <c r="E282" s="44">
        <v>1</v>
      </c>
    </row>
    <row r="283" spans="1:5">
      <c r="A283" s="43" t="s">
        <v>3538</v>
      </c>
      <c r="B283" s="43">
        <v>20180420</v>
      </c>
      <c r="C283" s="42" t="s">
        <v>3871</v>
      </c>
      <c r="D283" s="44" t="s">
        <v>7</v>
      </c>
      <c r="E283" s="44">
        <v>1</v>
      </c>
    </row>
    <row r="284" spans="1:5">
      <c r="A284" s="43" t="s">
        <v>3538</v>
      </c>
      <c r="B284" s="43">
        <v>20180650</v>
      </c>
      <c r="C284" s="42" t="s">
        <v>94</v>
      </c>
      <c r="D284" s="44" t="s">
        <v>7</v>
      </c>
      <c r="E284" s="44">
        <v>1</v>
      </c>
    </row>
    <row r="285" spans="1:5">
      <c r="A285" s="43" t="s">
        <v>3538</v>
      </c>
      <c r="B285" s="43" t="s">
        <v>3872</v>
      </c>
      <c r="C285" s="42" t="s">
        <v>365</v>
      </c>
      <c r="D285" s="44" t="s">
        <v>7</v>
      </c>
      <c r="E285" s="44">
        <v>1</v>
      </c>
    </row>
    <row r="286" spans="1:5">
      <c r="A286" s="43" t="s">
        <v>3538</v>
      </c>
      <c r="B286" s="43" t="s">
        <v>3873</v>
      </c>
      <c r="C286" s="42" t="s">
        <v>2478</v>
      </c>
      <c r="D286" s="44" t="s">
        <v>7</v>
      </c>
      <c r="E286" s="44">
        <v>1</v>
      </c>
    </row>
    <row r="287" spans="1:5">
      <c r="A287" s="43" t="s">
        <v>3538</v>
      </c>
      <c r="B287" s="43" t="s">
        <v>3874</v>
      </c>
      <c r="C287" s="42" t="s">
        <v>49</v>
      </c>
      <c r="D287" s="44" t="s">
        <v>7</v>
      </c>
      <c r="E287" s="44">
        <v>1</v>
      </c>
    </row>
    <row r="288" spans="1:5">
      <c r="A288" s="43" t="s">
        <v>3538</v>
      </c>
      <c r="B288" s="43" t="s">
        <v>3875</v>
      </c>
      <c r="C288" s="42" t="s">
        <v>1140</v>
      </c>
      <c r="D288" s="44" t="s">
        <v>7</v>
      </c>
      <c r="E288" s="44">
        <v>1</v>
      </c>
    </row>
    <row r="289" spans="1:5">
      <c r="A289" s="43" t="s">
        <v>3538</v>
      </c>
      <c r="B289" s="43" t="s">
        <v>3876</v>
      </c>
      <c r="C289" s="42" t="s">
        <v>3877</v>
      </c>
      <c r="D289" s="44" t="s">
        <v>7</v>
      </c>
      <c r="E289" s="44">
        <v>1</v>
      </c>
    </row>
    <row r="290" spans="1:5">
      <c r="A290" s="43" t="s">
        <v>3538</v>
      </c>
      <c r="B290" s="43" t="s">
        <v>3878</v>
      </c>
      <c r="C290" s="42" t="s">
        <v>3877</v>
      </c>
      <c r="D290" s="44" t="s">
        <v>7</v>
      </c>
      <c r="E290" s="44">
        <v>1</v>
      </c>
    </row>
    <row r="291" spans="1:5">
      <c r="A291" s="43" t="s">
        <v>3538</v>
      </c>
      <c r="B291" s="43" t="s">
        <v>3879</v>
      </c>
      <c r="C291" s="42" t="s">
        <v>305</v>
      </c>
      <c r="D291" s="44" t="s">
        <v>7</v>
      </c>
      <c r="E291" s="44">
        <v>1</v>
      </c>
    </row>
    <row r="292" spans="1:5">
      <c r="A292" s="43" t="s">
        <v>3538</v>
      </c>
      <c r="B292" s="43" t="s">
        <v>3880</v>
      </c>
      <c r="C292" s="42" t="s">
        <v>305</v>
      </c>
      <c r="D292" s="44" t="s">
        <v>7</v>
      </c>
      <c r="E292" s="44">
        <v>1</v>
      </c>
    </row>
    <row r="293" spans="1:5">
      <c r="A293" s="43" t="s">
        <v>3538</v>
      </c>
      <c r="B293" s="43" t="s">
        <v>3881</v>
      </c>
      <c r="C293" s="42" t="s">
        <v>3882</v>
      </c>
      <c r="D293" s="44" t="s">
        <v>7</v>
      </c>
      <c r="E293" s="44">
        <v>1</v>
      </c>
    </row>
    <row r="294" spans="1:5">
      <c r="A294" s="43" t="s">
        <v>3538</v>
      </c>
      <c r="B294" s="43" t="s">
        <v>3883</v>
      </c>
      <c r="C294" s="42" t="s">
        <v>3884</v>
      </c>
      <c r="D294" s="44" t="s">
        <v>7</v>
      </c>
      <c r="E294" s="44">
        <v>1</v>
      </c>
    </row>
    <row r="295" spans="1:5">
      <c r="A295" s="43" t="s">
        <v>3538</v>
      </c>
      <c r="B295" s="43" t="s">
        <v>3885</v>
      </c>
      <c r="C295" s="42" t="s">
        <v>96</v>
      </c>
      <c r="D295" s="44" t="s">
        <v>7</v>
      </c>
      <c r="E295" s="44">
        <v>1</v>
      </c>
    </row>
    <row r="296" spans="1:5">
      <c r="A296" s="43" t="s">
        <v>3538</v>
      </c>
      <c r="B296" s="43" t="s">
        <v>3886</v>
      </c>
      <c r="C296" s="42" t="s">
        <v>96</v>
      </c>
      <c r="D296" s="44" t="s">
        <v>7</v>
      </c>
      <c r="E296" s="44">
        <v>1</v>
      </c>
    </row>
    <row r="297" spans="1:5">
      <c r="A297" s="43" t="s">
        <v>3538</v>
      </c>
      <c r="B297" s="43" t="s">
        <v>3887</v>
      </c>
      <c r="C297" s="42" t="s">
        <v>96</v>
      </c>
      <c r="D297" s="44" t="s">
        <v>7</v>
      </c>
      <c r="E297" s="44">
        <v>1</v>
      </c>
    </row>
    <row r="298" spans="1:5">
      <c r="A298" s="43" t="s">
        <v>3538</v>
      </c>
      <c r="B298" s="43" t="s">
        <v>3888</v>
      </c>
      <c r="C298" s="42" t="s">
        <v>96</v>
      </c>
      <c r="D298" s="44" t="s">
        <v>7</v>
      </c>
      <c r="E298" s="44">
        <v>1</v>
      </c>
    </row>
    <row r="299" spans="1:5">
      <c r="A299" s="43" t="s">
        <v>3538</v>
      </c>
      <c r="B299" s="43" t="s">
        <v>3889</v>
      </c>
      <c r="C299" s="42" t="s">
        <v>96</v>
      </c>
      <c r="D299" s="44" t="s">
        <v>7</v>
      </c>
      <c r="E299" s="44">
        <v>1</v>
      </c>
    </row>
    <row r="300" spans="1:5">
      <c r="A300" s="43" t="s">
        <v>3538</v>
      </c>
      <c r="B300" s="43" t="s">
        <v>3890</v>
      </c>
      <c r="C300" s="42" t="s">
        <v>96</v>
      </c>
      <c r="D300" s="44" t="s">
        <v>7</v>
      </c>
      <c r="E300" s="44">
        <v>1</v>
      </c>
    </row>
    <row r="301" spans="1:5">
      <c r="A301" s="43" t="s">
        <v>3538</v>
      </c>
      <c r="B301" s="43" t="s">
        <v>3891</v>
      </c>
      <c r="C301" s="42" t="s">
        <v>96</v>
      </c>
      <c r="D301" s="44" t="s">
        <v>7</v>
      </c>
      <c r="E301" s="44">
        <v>1</v>
      </c>
    </row>
    <row r="302" spans="1:5">
      <c r="A302" s="43" t="s">
        <v>3538</v>
      </c>
      <c r="B302" s="43" t="s">
        <v>3892</v>
      </c>
      <c r="C302" s="42" t="s">
        <v>96</v>
      </c>
      <c r="D302" s="44" t="s">
        <v>7</v>
      </c>
      <c r="E302" s="44">
        <v>1</v>
      </c>
    </row>
    <row r="303" spans="1:5">
      <c r="A303" s="43" t="s">
        <v>3538</v>
      </c>
      <c r="B303" s="43" t="s">
        <v>3893</v>
      </c>
      <c r="C303" s="42" t="s">
        <v>96</v>
      </c>
      <c r="D303" s="44" t="s">
        <v>7</v>
      </c>
      <c r="E303" s="44">
        <v>1</v>
      </c>
    </row>
    <row r="304" spans="1:5">
      <c r="A304" s="43" t="s">
        <v>3538</v>
      </c>
      <c r="B304" s="43" t="s">
        <v>3894</v>
      </c>
      <c r="C304" s="42" t="s">
        <v>96</v>
      </c>
      <c r="D304" s="44" t="s">
        <v>7</v>
      </c>
      <c r="E304" s="44">
        <v>1</v>
      </c>
    </row>
    <row r="305" spans="1:5">
      <c r="A305" s="43" t="s">
        <v>3538</v>
      </c>
      <c r="B305" s="43" t="s">
        <v>3895</v>
      </c>
      <c r="C305" s="42" t="s">
        <v>96</v>
      </c>
      <c r="D305" s="44" t="s">
        <v>7</v>
      </c>
      <c r="E305" s="44">
        <v>1</v>
      </c>
    </row>
    <row r="306" spans="1:5">
      <c r="A306" s="43" t="s">
        <v>3538</v>
      </c>
      <c r="B306" s="43" t="s">
        <v>3896</v>
      </c>
      <c r="C306" s="42" t="s">
        <v>96</v>
      </c>
      <c r="D306" s="44" t="s">
        <v>7</v>
      </c>
      <c r="E306" s="44">
        <v>1</v>
      </c>
    </row>
    <row r="307" spans="1:5">
      <c r="A307" s="43" t="s">
        <v>3538</v>
      </c>
      <c r="B307" s="43" t="s">
        <v>3897</v>
      </c>
      <c r="C307" s="42" t="s">
        <v>96</v>
      </c>
      <c r="D307" s="44" t="s">
        <v>7</v>
      </c>
      <c r="E307" s="44">
        <v>1</v>
      </c>
    </row>
    <row r="308" spans="1:5">
      <c r="A308" s="43" t="s">
        <v>3538</v>
      </c>
      <c r="B308" s="43" t="s">
        <v>3898</v>
      </c>
      <c r="C308" s="42" t="s">
        <v>96</v>
      </c>
      <c r="D308" s="44" t="s">
        <v>7</v>
      </c>
      <c r="E308" s="44">
        <v>1</v>
      </c>
    </row>
    <row r="309" spans="1:5">
      <c r="A309" s="43" t="s">
        <v>3538</v>
      </c>
      <c r="B309" s="43" t="s">
        <v>3899</v>
      </c>
      <c r="C309" s="42" t="s">
        <v>96</v>
      </c>
      <c r="D309" s="44" t="s">
        <v>7</v>
      </c>
      <c r="E309" s="44">
        <v>1</v>
      </c>
    </row>
    <row r="310" spans="1:5">
      <c r="A310" s="43" t="s">
        <v>3538</v>
      </c>
      <c r="B310" s="43" t="s">
        <v>3900</v>
      </c>
      <c r="C310" s="42" t="s">
        <v>96</v>
      </c>
      <c r="D310" s="44" t="s">
        <v>7</v>
      </c>
      <c r="E310" s="44">
        <v>1</v>
      </c>
    </row>
    <row r="311" spans="1:5">
      <c r="A311" s="43" t="s">
        <v>3538</v>
      </c>
      <c r="B311" s="43" t="s">
        <v>3901</v>
      </c>
      <c r="C311" s="42" t="s">
        <v>96</v>
      </c>
      <c r="D311" s="44" t="s">
        <v>7</v>
      </c>
      <c r="E311" s="44">
        <v>1</v>
      </c>
    </row>
    <row r="312" spans="1:5">
      <c r="A312" s="43" t="s">
        <v>3538</v>
      </c>
      <c r="B312" s="43" t="s">
        <v>3902</v>
      </c>
      <c r="C312" s="42" t="s">
        <v>96</v>
      </c>
      <c r="D312" s="44" t="s">
        <v>7</v>
      </c>
      <c r="E312" s="44">
        <v>1</v>
      </c>
    </row>
    <row r="313" spans="1:5">
      <c r="A313" s="43" t="s">
        <v>3538</v>
      </c>
      <c r="B313" s="43" t="s">
        <v>3903</v>
      </c>
      <c r="C313" s="42" t="s">
        <v>96</v>
      </c>
      <c r="D313" s="44" t="s">
        <v>7</v>
      </c>
      <c r="E313" s="44">
        <v>1</v>
      </c>
    </row>
    <row r="314" spans="1:5">
      <c r="A314" s="43" t="s">
        <v>3538</v>
      </c>
      <c r="B314" s="43" t="s">
        <v>3904</v>
      </c>
      <c r="C314" s="42" t="s">
        <v>96</v>
      </c>
      <c r="D314" s="44" t="s">
        <v>7</v>
      </c>
      <c r="E314" s="44">
        <v>1</v>
      </c>
    </row>
    <row r="315" spans="1:5">
      <c r="A315" s="43" t="s">
        <v>3538</v>
      </c>
      <c r="B315" s="43" t="s">
        <v>3905</v>
      </c>
      <c r="C315" s="42" t="s">
        <v>96</v>
      </c>
      <c r="D315" s="44" t="s">
        <v>7</v>
      </c>
      <c r="E315" s="44">
        <v>1</v>
      </c>
    </row>
    <row r="316" spans="1:5">
      <c r="A316" s="43" t="s">
        <v>3538</v>
      </c>
      <c r="B316" s="43" t="s">
        <v>3906</v>
      </c>
      <c r="C316" s="42" t="s">
        <v>96</v>
      </c>
      <c r="D316" s="44" t="s">
        <v>7</v>
      </c>
      <c r="E316" s="44">
        <v>1</v>
      </c>
    </row>
    <row r="317" spans="1:5">
      <c r="A317" s="43" t="s">
        <v>3538</v>
      </c>
      <c r="B317" s="43" t="s">
        <v>3907</v>
      </c>
      <c r="C317" s="42" t="s">
        <v>96</v>
      </c>
      <c r="D317" s="44" t="s">
        <v>7</v>
      </c>
      <c r="E317" s="44">
        <v>1</v>
      </c>
    </row>
    <row r="318" spans="1:5">
      <c r="A318" s="43" t="s">
        <v>3538</v>
      </c>
      <c r="B318" s="43" t="s">
        <v>3908</v>
      </c>
      <c r="C318" s="42" t="s">
        <v>96</v>
      </c>
      <c r="D318" s="44" t="s">
        <v>7</v>
      </c>
      <c r="E318" s="44">
        <v>1</v>
      </c>
    </row>
    <row r="319" spans="1:5">
      <c r="A319" s="43" t="s">
        <v>3538</v>
      </c>
      <c r="B319" s="43" t="s">
        <v>3909</v>
      </c>
      <c r="C319" s="42" t="s">
        <v>96</v>
      </c>
      <c r="D319" s="44" t="s">
        <v>7</v>
      </c>
      <c r="E319" s="44">
        <v>1</v>
      </c>
    </row>
    <row r="320" spans="1:5">
      <c r="A320" s="43" t="s">
        <v>3538</v>
      </c>
      <c r="B320" s="43" t="s">
        <v>3910</v>
      </c>
      <c r="C320" s="42" t="s">
        <v>96</v>
      </c>
      <c r="D320" s="44" t="s">
        <v>7</v>
      </c>
      <c r="E320" s="44">
        <v>1</v>
      </c>
    </row>
    <row r="321" spans="1:5">
      <c r="A321" s="43" t="s">
        <v>3538</v>
      </c>
      <c r="B321" s="43" t="s">
        <v>3911</v>
      </c>
      <c r="C321" s="42" t="s">
        <v>96</v>
      </c>
      <c r="D321" s="44" t="s">
        <v>7</v>
      </c>
      <c r="E321" s="44">
        <v>1</v>
      </c>
    </row>
    <row r="322" spans="1:5">
      <c r="A322" s="43" t="s">
        <v>3538</v>
      </c>
      <c r="B322" s="43" t="s">
        <v>3912</v>
      </c>
      <c r="C322" s="42" t="s">
        <v>96</v>
      </c>
      <c r="D322" s="44" t="s">
        <v>7</v>
      </c>
      <c r="E322" s="44">
        <v>1</v>
      </c>
    </row>
    <row r="323" spans="1:5">
      <c r="A323" s="43" t="s">
        <v>3538</v>
      </c>
      <c r="B323" s="43" t="s">
        <v>3913</v>
      </c>
      <c r="C323" s="42" t="s">
        <v>96</v>
      </c>
      <c r="D323" s="44" t="s">
        <v>7</v>
      </c>
      <c r="E323" s="44">
        <v>1</v>
      </c>
    </row>
    <row r="324" spans="1:5">
      <c r="A324" s="43" t="s">
        <v>3538</v>
      </c>
      <c r="B324" s="43" t="s">
        <v>3914</v>
      </c>
      <c r="C324" s="42" t="s">
        <v>96</v>
      </c>
      <c r="D324" s="44" t="s">
        <v>7</v>
      </c>
      <c r="E324" s="44">
        <v>1</v>
      </c>
    </row>
    <row r="325" spans="1:5">
      <c r="A325" s="43" t="s">
        <v>3538</v>
      </c>
      <c r="B325" s="43" t="s">
        <v>3915</v>
      </c>
      <c r="C325" s="42" t="s">
        <v>96</v>
      </c>
      <c r="D325" s="44" t="s">
        <v>7</v>
      </c>
      <c r="E325" s="44">
        <v>1</v>
      </c>
    </row>
    <row r="326" spans="1:5">
      <c r="A326" s="43" t="s">
        <v>3538</v>
      </c>
      <c r="B326" s="43" t="s">
        <v>3916</v>
      </c>
      <c r="C326" s="42" t="s">
        <v>96</v>
      </c>
      <c r="D326" s="44" t="s">
        <v>7</v>
      </c>
      <c r="E326" s="44">
        <v>1</v>
      </c>
    </row>
    <row r="327" spans="1:5">
      <c r="A327" s="43" t="s">
        <v>3538</v>
      </c>
      <c r="B327" s="43" t="s">
        <v>3917</v>
      </c>
      <c r="C327" s="42" t="s">
        <v>96</v>
      </c>
      <c r="D327" s="44" t="s">
        <v>7</v>
      </c>
      <c r="E327" s="44">
        <v>1</v>
      </c>
    </row>
    <row r="328" spans="1:5">
      <c r="A328" s="43" t="s">
        <v>3538</v>
      </c>
      <c r="B328" s="43" t="s">
        <v>3918</v>
      </c>
      <c r="C328" s="42" t="s">
        <v>96</v>
      </c>
      <c r="D328" s="44" t="s">
        <v>7</v>
      </c>
      <c r="E328" s="44">
        <v>1</v>
      </c>
    </row>
    <row r="329" spans="1:5">
      <c r="A329" s="43" t="s">
        <v>3538</v>
      </c>
      <c r="B329" s="43" t="s">
        <v>3919</v>
      </c>
      <c r="C329" s="42" t="s">
        <v>96</v>
      </c>
      <c r="D329" s="44" t="s">
        <v>7</v>
      </c>
      <c r="E329" s="44">
        <v>1</v>
      </c>
    </row>
    <row r="330" spans="1:5">
      <c r="A330" s="43" t="s">
        <v>3538</v>
      </c>
      <c r="B330" s="43" t="s">
        <v>3920</v>
      </c>
      <c r="C330" s="42" t="s">
        <v>96</v>
      </c>
      <c r="D330" s="44" t="s">
        <v>7</v>
      </c>
      <c r="E330" s="44">
        <v>1</v>
      </c>
    </row>
    <row r="331" spans="1:5">
      <c r="A331" s="43" t="s">
        <v>3538</v>
      </c>
      <c r="B331" s="43" t="s">
        <v>3921</v>
      </c>
      <c r="C331" s="42" t="s">
        <v>96</v>
      </c>
      <c r="D331" s="44" t="s">
        <v>7</v>
      </c>
      <c r="E331" s="44">
        <v>1</v>
      </c>
    </row>
    <row r="332" spans="1:5">
      <c r="A332" s="43" t="s">
        <v>3538</v>
      </c>
      <c r="B332" s="43" t="s">
        <v>3922</v>
      </c>
      <c r="C332" s="42" t="s">
        <v>96</v>
      </c>
      <c r="D332" s="44" t="s">
        <v>7</v>
      </c>
      <c r="E332" s="44">
        <v>1</v>
      </c>
    </row>
    <row r="333" spans="1:5">
      <c r="A333" s="43" t="s">
        <v>3538</v>
      </c>
      <c r="B333" s="43" t="s">
        <v>3923</v>
      </c>
      <c r="C333" s="42" t="s">
        <v>96</v>
      </c>
      <c r="D333" s="44" t="s">
        <v>7</v>
      </c>
      <c r="E333" s="44">
        <v>1</v>
      </c>
    </row>
    <row r="334" spans="1:5">
      <c r="A334" s="43" t="s">
        <v>3538</v>
      </c>
      <c r="B334" s="43" t="s">
        <v>3924</v>
      </c>
      <c r="C334" s="42" t="s">
        <v>96</v>
      </c>
      <c r="D334" s="44" t="s">
        <v>7</v>
      </c>
      <c r="E334" s="44">
        <v>1</v>
      </c>
    </row>
    <row r="335" spans="1:5">
      <c r="A335" s="43" t="s">
        <v>3538</v>
      </c>
      <c r="B335" s="43" t="s">
        <v>3925</v>
      </c>
      <c r="C335" s="42" t="s">
        <v>96</v>
      </c>
      <c r="D335" s="44" t="s">
        <v>7</v>
      </c>
      <c r="E335" s="44">
        <v>1</v>
      </c>
    </row>
    <row r="336" spans="1:5">
      <c r="A336" s="43" t="s">
        <v>3538</v>
      </c>
      <c r="B336" s="43" t="s">
        <v>3926</v>
      </c>
      <c r="C336" s="42" t="s">
        <v>96</v>
      </c>
      <c r="D336" s="44" t="s">
        <v>7</v>
      </c>
      <c r="E336" s="44">
        <v>1</v>
      </c>
    </row>
    <row r="337" spans="1:5">
      <c r="A337" s="43" t="s">
        <v>3538</v>
      </c>
      <c r="B337" s="43" t="s">
        <v>3927</v>
      </c>
      <c r="C337" s="42" t="s">
        <v>96</v>
      </c>
      <c r="D337" s="44" t="s">
        <v>7</v>
      </c>
      <c r="E337" s="44">
        <v>1</v>
      </c>
    </row>
    <row r="338" spans="1:5">
      <c r="A338" s="43" t="s">
        <v>3538</v>
      </c>
      <c r="B338" s="43" t="s">
        <v>3928</v>
      </c>
      <c r="C338" s="42" t="s">
        <v>96</v>
      </c>
      <c r="D338" s="44" t="s">
        <v>7</v>
      </c>
      <c r="E338" s="44">
        <v>1</v>
      </c>
    </row>
    <row r="339" spans="1:5">
      <c r="A339" s="43" t="s">
        <v>3538</v>
      </c>
      <c r="B339" s="43" t="s">
        <v>3929</v>
      </c>
      <c r="C339" s="42" t="s">
        <v>96</v>
      </c>
      <c r="D339" s="44" t="s">
        <v>7</v>
      </c>
      <c r="E339" s="44">
        <v>1</v>
      </c>
    </row>
    <row r="340" spans="1:5">
      <c r="A340" s="43" t="s">
        <v>3538</v>
      </c>
      <c r="B340" s="43" t="s">
        <v>3930</v>
      </c>
      <c r="C340" s="42" t="s">
        <v>96</v>
      </c>
      <c r="D340" s="44" t="s">
        <v>7</v>
      </c>
      <c r="E340" s="44">
        <v>1</v>
      </c>
    </row>
    <row r="341" spans="1:5">
      <c r="A341" s="43" t="s">
        <v>3538</v>
      </c>
      <c r="B341" s="43" t="s">
        <v>3931</v>
      </c>
      <c r="C341" s="42" t="s">
        <v>96</v>
      </c>
      <c r="D341" s="44" t="s">
        <v>7</v>
      </c>
      <c r="E341" s="44">
        <v>1</v>
      </c>
    </row>
    <row r="342" spans="1:5">
      <c r="A342" s="43" t="s">
        <v>3538</v>
      </c>
      <c r="B342" s="43" t="s">
        <v>3932</v>
      </c>
      <c r="C342" s="42" t="s">
        <v>96</v>
      </c>
      <c r="D342" s="44" t="s">
        <v>7</v>
      </c>
      <c r="E342" s="44">
        <v>1</v>
      </c>
    </row>
    <row r="343" spans="1:5">
      <c r="A343" s="43" t="s">
        <v>3538</v>
      </c>
      <c r="B343" s="43" t="s">
        <v>3933</v>
      </c>
      <c r="C343" s="42" t="s">
        <v>96</v>
      </c>
      <c r="D343" s="44" t="s">
        <v>7</v>
      </c>
      <c r="E343" s="44">
        <v>1</v>
      </c>
    </row>
    <row r="344" spans="1:5">
      <c r="A344" s="43" t="s">
        <v>3538</v>
      </c>
      <c r="B344" s="43" t="s">
        <v>3934</v>
      </c>
      <c r="C344" s="42" t="s">
        <v>3935</v>
      </c>
      <c r="D344" s="44" t="s">
        <v>7</v>
      </c>
      <c r="E344" s="44">
        <v>1</v>
      </c>
    </row>
    <row r="345" spans="1:5">
      <c r="A345" s="43" t="s">
        <v>3538</v>
      </c>
      <c r="B345" s="43" t="s">
        <v>3936</v>
      </c>
      <c r="C345" s="42" t="s">
        <v>362</v>
      </c>
      <c r="D345" s="44" t="s">
        <v>7</v>
      </c>
      <c r="E345" s="44">
        <v>1</v>
      </c>
    </row>
    <row r="346" spans="1:5">
      <c r="A346" s="43" t="s">
        <v>3538</v>
      </c>
      <c r="B346" s="43" t="s">
        <v>3937</v>
      </c>
      <c r="C346" s="42" t="s">
        <v>2139</v>
      </c>
      <c r="D346" s="44" t="s">
        <v>7</v>
      </c>
      <c r="E346" s="44">
        <v>1</v>
      </c>
    </row>
    <row r="347" spans="1:5">
      <c r="A347" s="43" t="s">
        <v>3538</v>
      </c>
      <c r="C347" s="42" t="s">
        <v>3938</v>
      </c>
      <c r="D347" s="44" t="s">
        <v>7</v>
      </c>
      <c r="E347" s="44">
        <v>1</v>
      </c>
    </row>
    <row r="348" spans="1:5">
      <c r="A348" s="43" t="s">
        <v>3538</v>
      </c>
      <c r="C348" s="42" t="s">
        <v>362</v>
      </c>
      <c r="D348" s="44" t="s">
        <v>7</v>
      </c>
      <c r="E348" s="44">
        <v>1</v>
      </c>
    </row>
    <row r="349" spans="1:5">
      <c r="A349" s="43" t="s">
        <v>3538</v>
      </c>
      <c r="C349" s="42" t="s">
        <v>3939</v>
      </c>
      <c r="D349" s="44" t="s">
        <v>7</v>
      </c>
      <c r="E349" s="44">
        <v>1</v>
      </c>
    </row>
    <row r="350" spans="1:5">
      <c r="A350" s="43" t="s">
        <v>3538</v>
      </c>
      <c r="C350" s="42" t="s">
        <v>362</v>
      </c>
      <c r="D350" s="44" t="s">
        <v>7</v>
      </c>
      <c r="E350" s="44">
        <v>1</v>
      </c>
    </row>
    <row r="351" spans="1:5">
      <c r="A351" s="43" t="s">
        <v>3538</v>
      </c>
      <c r="C351" s="42" t="s">
        <v>3938</v>
      </c>
      <c r="D351" s="44" t="s">
        <v>7</v>
      </c>
      <c r="E351" s="44">
        <v>1</v>
      </c>
    </row>
    <row r="352" spans="1:5">
      <c r="A352" s="43" t="s">
        <v>3538</v>
      </c>
      <c r="B352" s="43" t="s">
        <v>3940</v>
      </c>
      <c r="C352" s="42" t="s">
        <v>3941</v>
      </c>
      <c r="D352" s="44" t="s">
        <v>7</v>
      </c>
      <c r="E352" s="44">
        <v>1</v>
      </c>
    </row>
    <row r="353" spans="1:5">
      <c r="A353" s="43" t="s">
        <v>3538</v>
      </c>
      <c r="B353" s="43" t="s">
        <v>3942</v>
      </c>
      <c r="C353" s="42" t="s">
        <v>3943</v>
      </c>
      <c r="D353" s="44" t="s">
        <v>7</v>
      </c>
      <c r="E353" s="44">
        <v>1</v>
      </c>
    </row>
    <row r="354" spans="1:5">
      <c r="A354" s="43" t="s">
        <v>3538</v>
      </c>
      <c r="B354" s="43" t="s">
        <v>3944</v>
      </c>
      <c r="C354" s="42" t="s">
        <v>305</v>
      </c>
      <c r="D354" s="44" t="s">
        <v>7</v>
      </c>
      <c r="E354" s="44">
        <v>1</v>
      </c>
    </row>
    <row r="355" spans="1:5">
      <c r="A355" s="43" t="s">
        <v>3538</v>
      </c>
      <c r="B355" s="43" t="s">
        <v>3945</v>
      </c>
      <c r="C355" s="42" t="s">
        <v>305</v>
      </c>
      <c r="D355" s="44" t="s">
        <v>7</v>
      </c>
      <c r="E355" s="44">
        <v>1</v>
      </c>
    </row>
    <row r="356" spans="1:5">
      <c r="A356" s="43" t="s">
        <v>3538</v>
      </c>
      <c r="B356" s="43" t="s">
        <v>3946</v>
      </c>
      <c r="C356" s="42" t="s">
        <v>49</v>
      </c>
      <c r="D356" s="44" t="s">
        <v>7</v>
      </c>
      <c r="E356" s="44">
        <v>1</v>
      </c>
    </row>
    <row r="357" spans="1:5">
      <c r="A357" s="43" t="s">
        <v>3538</v>
      </c>
      <c r="B357" s="43" t="s">
        <v>3947</v>
      </c>
      <c r="C357" s="42" t="s">
        <v>1140</v>
      </c>
      <c r="D357" s="44" t="s">
        <v>7</v>
      </c>
      <c r="E357" s="44">
        <v>1</v>
      </c>
    </row>
    <row r="358" spans="1:5">
      <c r="A358" s="43" t="s">
        <v>3538</v>
      </c>
      <c r="B358" s="43" t="s">
        <v>3948</v>
      </c>
      <c r="C358" s="42" t="s">
        <v>330</v>
      </c>
      <c r="D358" s="44" t="s">
        <v>7</v>
      </c>
      <c r="E358" s="44">
        <v>1</v>
      </c>
    </row>
    <row r="359" spans="1:5">
      <c r="A359" s="43" t="s">
        <v>3538</v>
      </c>
      <c r="B359" s="43" t="s">
        <v>3949</v>
      </c>
      <c r="C359" s="42" t="s">
        <v>362</v>
      </c>
      <c r="D359" s="44" t="s">
        <v>7</v>
      </c>
      <c r="E359" s="44">
        <v>1</v>
      </c>
    </row>
    <row r="360" spans="1:5">
      <c r="A360" s="43" t="s">
        <v>3538</v>
      </c>
      <c r="B360" s="43" t="s">
        <v>3950</v>
      </c>
      <c r="C360" s="42" t="s">
        <v>3951</v>
      </c>
      <c r="D360" s="44" t="s">
        <v>7</v>
      </c>
      <c r="E360" s="44">
        <v>1</v>
      </c>
    </row>
    <row r="361" spans="1:5">
      <c r="A361" s="43" t="s">
        <v>3538</v>
      </c>
      <c r="B361" s="43" t="s">
        <v>3952</v>
      </c>
      <c r="C361" s="42" t="s">
        <v>3953</v>
      </c>
      <c r="D361" s="44" t="s">
        <v>7</v>
      </c>
      <c r="E361" s="44">
        <v>1</v>
      </c>
    </row>
    <row r="362" spans="1:5">
      <c r="A362" s="43" t="s">
        <v>3538</v>
      </c>
      <c r="B362" s="43" t="s">
        <v>3954</v>
      </c>
      <c r="C362" s="42" t="s">
        <v>3955</v>
      </c>
      <c r="D362" s="44" t="s">
        <v>7</v>
      </c>
      <c r="E362" s="44">
        <v>1</v>
      </c>
    </row>
    <row r="363" spans="1:5">
      <c r="A363" s="43" t="s">
        <v>3538</v>
      </c>
      <c r="B363" s="43" t="s">
        <v>3956</v>
      </c>
      <c r="C363" s="42" t="s">
        <v>123</v>
      </c>
      <c r="D363" s="44" t="s">
        <v>7</v>
      </c>
      <c r="E363" s="44">
        <v>1</v>
      </c>
    </row>
    <row r="364" spans="1:5">
      <c r="A364" s="43" t="s">
        <v>3538</v>
      </c>
      <c r="B364" s="43" t="s">
        <v>3957</v>
      </c>
      <c r="C364" s="42" t="s">
        <v>123</v>
      </c>
      <c r="D364" s="44" t="s">
        <v>7</v>
      </c>
      <c r="E364" s="44">
        <v>1</v>
      </c>
    </row>
    <row r="365" spans="1:5">
      <c r="A365" s="43" t="s">
        <v>3538</v>
      </c>
      <c r="B365" s="43" t="s">
        <v>3958</v>
      </c>
      <c r="C365" s="42" t="s">
        <v>123</v>
      </c>
      <c r="D365" s="44" t="s">
        <v>7</v>
      </c>
      <c r="E365" s="44">
        <v>1</v>
      </c>
    </row>
    <row r="366" spans="1:5">
      <c r="A366" s="43" t="s">
        <v>3538</v>
      </c>
      <c r="B366" s="43" t="s">
        <v>3959</v>
      </c>
      <c r="C366" s="42" t="s">
        <v>123</v>
      </c>
      <c r="D366" s="44" t="s">
        <v>7</v>
      </c>
      <c r="E366" s="44">
        <v>1</v>
      </c>
    </row>
    <row r="367" spans="1:5">
      <c r="A367" s="43" t="s">
        <v>3538</v>
      </c>
      <c r="B367" s="43" t="s">
        <v>3960</v>
      </c>
      <c r="C367" s="42" t="s">
        <v>123</v>
      </c>
      <c r="D367" s="44" t="s">
        <v>7</v>
      </c>
      <c r="E367" s="44">
        <v>1</v>
      </c>
    </row>
    <row r="368" spans="1:5">
      <c r="A368" s="43" t="s">
        <v>3538</v>
      </c>
      <c r="B368" s="43" t="s">
        <v>3961</v>
      </c>
      <c r="C368" s="42" t="s">
        <v>123</v>
      </c>
      <c r="D368" s="44" t="s">
        <v>7</v>
      </c>
      <c r="E368" s="44">
        <v>1</v>
      </c>
    </row>
    <row r="369" spans="1:5">
      <c r="A369" s="43" t="s">
        <v>3538</v>
      </c>
      <c r="B369" s="43" t="s">
        <v>3962</v>
      </c>
      <c r="C369" s="42" t="s">
        <v>123</v>
      </c>
      <c r="D369" s="44" t="s">
        <v>7</v>
      </c>
      <c r="E369" s="44">
        <v>1</v>
      </c>
    </row>
    <row r="370" spans="1:5">
      <c r="A370" s="43" t="s">
        <v>3538</v>
      </c>
      <c r="B370" s="43" t="s">
        <v>3963</v>
      </c>
      <c r="C370" s="42" t="s">
        <v>123</v>
      </c>
      <c r="D370" s="44" t="s">
        <v>7</v>
      </c>
      <c r="E370" s="44">
        <v>1</v>
      </c>
    </row>
    <row r="371" spans="1:5">
      <c r="A371" s="43" t="s">
        <v>3538</v>
      </c>
      <c r="B371" s="43" t="s">
        <v>3964</v>
      </c>
      <c r="C371" s="42" t="s">
        <v>123</v>
      </c>
      <c r="D371" s="44" t="s">
        <v>7</v>
      </c>
      <c r="E371" s="44">
        <v>1</v>
      </c>
    </row>
    <row r="372" spans="1:5">
      <c r="A372" s="43" t="s">
        <v>3538</v>
      </c>
      <c r="B372" s="43" t="s">
        <v>3965</v>
      </c>
      <c r="C372" s="42" t="s">
        <v>123</v>
      </c>
      <c r="D372" s="44" t="s">
        <v>7</v>
      </c>
      <c r="E372" s="44">
        <v>1</v>
      </c>
    </row>
    <row r="373" spans="1:5">
      <c r="A373" s="43" t="s">
        <v>3538</v>
      </c>
      <c r="B373" s="43" t="s">
        <v>3966</v>
      </c>
      <c r="C373" s="42" t="s">
        <v>123</v>
      </c>
      <c r="D373" s="44" t="s">
        <v>7</v>
      </c>
      <c r="E373" s="44">
        <v>1</v>
      </c>
    </row>
    <row r="374" spans="1:5">
      <c r="A374" s="43" t="s">
        <v>3538</v>
      </c>
      <c r="B374" s="43" t="s">
        <v>3967</v>
      </c>
      <c r="C374" s="42" t="s">
        <v>123</v>
      </c>
      <c r="D374" s="44" t="s">
        <v>7</v>
      </c>
      <c r="E374" s="44">
        <v>1</v>
      </c>
    </row>
    <row r="375" spans="1:5">
      <c r="A375" s="43" t="s">
        <v>3538</v>
      </c>
      <c r="B375" s="43" t="s">
        <v>3968</v>
      </c>
      <c r="C375" s="42" t="s">
        <v>123</v>
      </c>
      <c r="D375" s="44" t="s">
        <v>7</v>
      </c>
      <c r="E375" s="44">
        <v>1</v>
      </c>
    </row>
    <row r="376" spans="1:5">
      <c r="A376" s="43" t="s">
        <v>3538</v>
      </c>
      <c r="B376" s="43" t="s">
        <v>3969</v>
      </c>
      <c r="C376" s="42" t="s">
        <v>123</v>
      </c>
      <c r="D376" s="44" t="s">
        <v>7</v>
      </c>
      <c r="E376" s="44">
        <v>1</v>
      </c>
    </row>
    <row r="377" spans="1:5">
      <c r="A377" s="43" t="s">
        <v>3538</v>
      </c>
      <c r="B377" s="43" t="s">
        <v>3970</v>
      </c>
      <c r="C377" s="42" t="s">
        <v>123</v>
      </c>
      <c r="D377" s="44" t="s">
        <v>7</v>
      </c>
      <c r="E377" s="44">
        <v>1</v>
      </c>
    </row>
    <row r="378" spans="1:5">
      <c r="A378" s="43" t="s">
        <v>3538</v>
      </c>
      <c r="B378" s="43" t="s">
        <v>3971</v>
      </c>
      <c r="C378" s="42" t="s">
        <v>123</v>
      </c>
      <c r="D378" s="44" t="s">
        <v>7</v>
      </c>
      <c r="E378" s="44">
        <v>1</v>
      </c>
    </row>
    <row r="379" spans="1:5">
      <c r="A379" s="43" t="s">
        <v>3538</v>
      </c>
      <c r="B379" s="43" t="s">
        <v>3972</v>
      </c>
      <c r="C379" s="42" t="s">
        <v>123</v>
      </c>
      <c r="D379" s="44" t="s">
        <v>7</v>
      </c>
      <c r="E379" s="44">
        <v>1</v>
      </c>
    </row>
    <row r="380" spans="1:5">
      <c r="A380" s="43" t="s">
        <v>3538</v>
      </c>
      <c r="B380" s="43" t="s">
        <v>3973</v>
      </c>
      <c r="C380" s="42" t="s">
        <v>123</v>
      </c>
      <c r="D380" s="44" t="s">
        <v>7</v>
      </c>
      <c r="E380" s="44">
        <v>1</v>
      </c>
    </row>
    <row r="381" spans="1:5">
      <c r="A381" s="43" t="s">
        <v>3538</v>
      </c>
      <c r="B381" s="43" t="s">
        <v>3974</v>
      </c>
      <c r="C381" s="42" t="s">
        <v>123</v>
      </c>
      <c r="D381" s="44" t="s">
        <v>7</v>
      </c>
      <c r="E381" s="44">
        <v>1</v>
      </c>
    </row>
    <row r="382" spans="1:5">
      <c r="A382" s="43" t="s">
        <v>3538</v>
      </c>
      <c r="B382" s="43" t="s">
        <v>3975</v>
      </c>
      <c r="C382" s="42" t="s">
        <v>123</v>
      </c>
      <c r="D382" s="44" t="s">
        <v>7</v>
      </c>
      <c r="E382" s="44">
        <v>1</v>
      </c>
    </row>
    <row r="383" spans="1:5">
      <c r="A383" s="43" t="s">
        <v>3538</v>
      </c>
      <c r="B383" s="43" t="s">
        <v>3976</v>
      </c>
      <c r="C383" s="42" t="s">
        <v>123</v>
      </c>
      <c r="D383" s="44" t="s">
        <v>7</v>
      </c>
      <c r="E383" s="44">
        <v>1</v>
      </c>
    </row>
    <row r="384" spans="1:5">
      <c r="A384" s="43" t="s">
        <v>3538</v>
      </c>
      <c r="B384" s="43" t="s">
        <v>3977</v>
      </c>
      <c r="C384" s="42" t="s">
        <v>123</v>
      </c>
      <c r="D384" s="44" t="s">
        <v>7</v>
      </c>
      <c r="E384" s="44">
        <v>1</v>
      </c>
    </row>
    <row r="385" spans="1:5">
      <c r="A385" s="43" t="s">
        <v>3538</v>
      </c>
      <c r="B385" s="43" t="s">
        <v>3978</v>
      </c>
      <c r="C385" s="42" t="s">
        <v>123</v>
      </c>
      <c r="D385" s="44" t="s">
        <v>7</v>
      </c>
      <c r="E385" s="44">
        <v>1</v>
      </c>
    </row>
    <row r="386" spans="1:5">
      <c r="A386" s="43" t="s">
        <v>3538</v>
      </c>
      <c r="B386" s="43" t="s">
        <v>3979</v>
      </c>
      <c r="C386" s="42" t="s">
        <v>123</v>
      </c>
      <c r="D386" s="44" t="s">
        <v>7</v>
      </c>
      <c r="E386" s="44">
        <v>1</v>
      </c>
    </row>
    <row r="387" spans="1:5">
      <c r="A387" s="43" t="s">
        <v>3538</v>
      </c>
      <c r="B387" s="43" t="s">
        <v>3980</v>
      </c>
      <c r="C387" s="42" t="s">
        <v>123</v>
      </c>
      <c r="D387" s="44" t="s">
        <v>7</v>
      </c>
      <c r="E387" s="44">
        <v>1</v>
      </c>
    </row>
    <row r="388" spans="1:5">
      <c r="A388" s="43" t="s">
        <v>3538</v>
      </c>
      <c r="B388" s="43" t="s">
        <v>3981</v>
      </c>
      <c r="C388" s="42" t="s">
        <v>123</v>
      </c>
      <c r="D388" s="44" t="s">
        <v>7</v>
      </c>
      <c r="E388" s="44">
        <v>1</v>
      </c>
    </row>
    <row r="389" spans="1:5">
      <c r="A389" s="43" t="s">
        <v>3538</v>
      </c>
      <c r="B389" s="43" t="s">
        <v>3982</v>
      </c>
      <c r="C389" s="42" t="s">
        <v>123</v>
      </c>
      <c r="D389" s="44" t="s">
        <v>7</v>
      </c>
      <c r="E389" s="44">
        <v>1</v>
      </c>
    </row>
    <row r="390" spans="1:5">
      <c r="A390" s="43" t="s">
        <v>3538</v>
      </c>
      <c r="B390" s="43" t="s">
        <v>3983</v>
      </c>
      <c r="C390" s="42" t="s">
        <v>123</v>
      </c>
      <c r="D390" s="44" t="s">
        <v>7</v>
      </c>
      <c r="E390" s="44">
        <v>1</v>
      </c>
    </row>
    <row r="391" spans="1:5">
      <c r="A391" s="43" t="s">
        <v>3538</v>
      </c>
      <c r="B391" s="43" t="s">
        <v>3984</v>
      </c>
      <c r="C391" s="42" t="s">
        <v>123</v>
      </c>
      <c r="D391" s="44" t="s">
        <v>7</v>
      </c>
      <c r="E391" s="44">
        <v>1</v>
      </c>
    </row>
    <row r="392" spans="1:5">
      <c r="A392" s="43" t="s">
        <v>3538</v>
      </c>
      <c r="B392" s="43" t="s">
        <v>3985</v>
      </c>
      <c r="C392" s="42" t="s">
        <v>123</v>
      </c>
      <c r="D392" s="44" t="s">
        <v>7</v>
      </c>
      <c r="E392" s="44">
        <v>1</v>
      </c>
    </row>
    <row r="393" spans="1:5">
      <c r="A393" s="43" t="s">
        <v>3538</v>
      </c>
      <c r="B393" s="43" t="s">
        <v>3986</v>
      </c>
      <c r="C393" s="42" t="s">
        <v>123</v>
      </c>
      <c r="D393" s="44" t="s">
        <v>7</v>
      </c>
      <c r="E393" s="44">
        <v>1</v>
      </c>
    </row>
    <row r="394" spans="1:5">
      <c r="A394" s="43" t="s">
        <v>3538</v>
      </c>
      <c r="B394" s="43" t="s">
        <v>3987</v>
      </c>
      <c r="C394" s="42" t="s">
        <v>123</v>
      </c>
      <c r="D394" s="44" t="s">
        <v>7</v>
      </c>
      <c r="E394" s="44">
        <v>1</v>
      </c>
    </row>
    <row r="395" spans="1:5">
      <c r="A395" s="43" t="s">
        <v>3538</v>
      </c>
      <c r="B395" s="43" t="s">
        <v>3988</v>
      </c>
      <c r="C395" s="42" t="s">
        <v>123</v>
      </c>
      <c r="D395" s="44" t="s">
        <v>7</v>
      </c>
      <c r="E395" s="44">
        <v>1</v>
      </c>
    </row>
    <row r="396" spans="1:5">
      <c r="A396" s="43" t="s">
        <v>3538</v>
      </c>
      <c r="B396" s="43" t="s">
        <v>3989</v>
      </c>
      <c r="C396" s="42" t="s">
        <v>123</v>
      </c>
      <c r="D396" s="44" t="s">
        <v>7</v>
      </c>
      <c r="E396" s="44">
        <v>1</v>
      </c>
    </row>
    <row r="397" spans="1:5">
      <c r="A397" s="43" t="s">
        <v>3538</v>
      </c>
      <c r="B397" s="43" t="s">
        <v>3990</v>
      </c>
      <c r="C397" s="42" t="s">
        <v>123</v>
      </c>
      <c r="D397" s="44" t="s">
        <v>7</v>
      </c>
      <c r="E397" s="44">
        <v>1</v>
      </c>
    </row>
    <row r="398" spans="1:5">
      <c r="A398" s="43" t="s">
        <v>3538</v>
      </c>
      <c r="B398" s="43" t="s">
        <v>3991</v>
      </c>
      <c r="C398" s="42" t="s">
        <v>123</v>
      </c>
      <c r="D398" s="44" t="s">
        <v>7</v>
      </c>
      <c r="E398" s="44">
        <v>1</v>
      </c>
    </row>
    <row r="399" spans="1:5">
      <c r="A399" s="43" t="s">
        <v>3538</v>
      </c>
      <c r="B399" s="43" t="s">
        <v>3992</v>
      </c>
      <c r="C399" s="42" t="s">
        <v>123</v>
      </c>
      <c r="D399" s="44" t="s">
        <v>7</v>
      </c>
      <c r="E399" s="44">
        <v>1</v>
      </c>
    </row>
    <row r="400" spans="1:5">
      <c r="A400" s="43" t="s">
        <v>3538</v>
      </c>
      <c r="B400" s="43" t="s">
        <v>3993</v>
      </c>
      <c r="C400" s="42" t="s">
        <v>123</v>
      </c>
      <c r="D400" s="44" t="s">
        <v>7</v>
      </c>
      <c r="E400" s="44">
        <v>1</v>
      </c>
    </row>
    <row r="401" spans="1:5">
      <c r="A401" s="43" t="s">
        <v>3538</v>
      </c>
      <c r="B401" s="43" t="s">
        <v>3994</v>
      </c>
      <c r="C401" s="42" t="s">
        <v>123</v>
      </c>
      <c r="D401" s="44" t="s">
        <v>7</v>
      </c>
      <c r="E401" s="44">
        <v>1</v>
      </c>
    </row>
    <row r="402" spans="1:5">
      <c r="A402" s="43" t="s">
        <v>3538</v>
      </c>
      <c r="B402" s="43" t="s">
        <v>3995</v>
      </c>
      <c r="C402" s="42" t="s">
        <v>123</v>
      </c>
      <c r="D402" s="44" t="s">
        <v>7</v>
      </c>
      <c r="E402" s="44">
        <v>1</v>
      </c>
    </row>
    <row r="403" spans="1:5">
      <c r="A403" s="43" t="s">
        <v>3538</v>
      </c>
      <c r="B403" s="43" t="s">
        <v>3996</v>
      </c>
      <c r="C403" s="42" t="s">
        <v>123</v>
      </c>
      <c r="D403" s="44" t="s">
        <v>7</v>
      </c>
      <c r="E403" s="44">
        <v>1</v>
      </c>
    </row>
    <row r="404" spans="1:5">
      <c r="A404" s="43" t="s">
        <v>3538</v>
      </c>
      <c r="B404" s="43" t="s">
        <v>3997</v>
      </c>
      <c r="C404" s="42" t="s">
        <v>123</v>
      </c>
      <c r="D404" s="44" t="s">
        <v>7</v>
      </c>
      <c r="E404" s="44">
        <v>1</v>
      </c>
    </row>
    <row r="405" spans="1:5">
      <c r="A405" s="43" t="s">
        <v>3538</v>
      </c>
      <c r="B405" s="43" t="s">
        <v>3998</v>
      </c>
      <c r="C405" s="42" t="s">
        <v>123</v>
      </c>
      <c r="D405" s="44" t="s">
        <v>7</v>
      </c>
      <c r="E405" s="44">
        <v>1</v>
      </c>
    </row>
    <row r="406" spans="1:5">
      <c r="A406" s="43" t="s">
        <v>3538</v>
      </c>
      <c r="B406" s="43" t="s">
        <v>3999</v>
      </c>
      <c r="C406" s="42" t="s">
        <v>123</v>
      </c>
      <c r="D406" s="44" t="s">
        <v>7</v>
      </c>
      <c r="E406" s="44">
        <v>1</v>
      </c>
    </row>
    <row r="407" spans="1:5">
      <c r="A407" s="43" t="s">
        <v>3538</v>
      </c>
      <c r="B407" s="43" t="s">
        <v>4000</v>
      </c>
      <c r="C407" s="42" t="s">
        <v>123</v>
      </c>
      <c r="D407" s="44" t="s">
        <v>7</v>
      </c>
      <c r="E407" s="44">
        <v>1</v>
      </c>
    </row>
    <row r="408" spans="1:5">
      <c r="A408" s="43" t="s">
        <v>3538</v>
      </c>
      <c r="B408" s="43" t="s">
        <v>4001</v>
      </c>
      <c r="C408" s="42" t="s">
        <v>123</v>
      </c>
      <c r="D408" s="44" t="s">
        <v>7</v>
      </c>
      <c r="E408" s="44">
        <v>1</v>
      </c>
    </row>
    <row r="409" spans="1:5">
      <c r="A409" s="43" t="s">
        <v>3538</v>
      </c>
      <c r="B409" s="43" t="s">
        <v>4002</v>
      </c>
      <c r="C409" s="42" t="s">
        <v>123</v>
      </c>
      <c r="D409" s="44" t="s">
        <v>7</v>
      </c>
      <c r="E409" s="44">
        <v>1</v>
      </c>
    </row>
    <row r="410" spans="1:5">
      <c r="A410" s="43" t="s">
        <v>3538</v>
      </c>
      <c r="B410" s="43" t="s">
        <v>4003</v>
      </c>
      <c r="C410" s="42" t="s">
        <v>123</v>
      </c>
      <c r="D410" s="44" t="s">
        <v>7</v>
      </c>
      <c r="E410" s="44">
        <v>1</v>
      </c>
    </row>
    <row r="411" spans="1:5">
      <c r="A411" s="43" t="s">
        <v>3538</v>
      </c>
      <c r="B411" s="43" t="s">
        <v>4004</v>
      </c>
      <c r="C411" s="42" t="s">
        <v>123</v>
      </c>
      <c r="D411" s="44" t="s">
        <v>7</v>
      </c>
      <c r="E411" s="44">
        <v>1</v>
      </c>
    </row>
    <row r="412" spans="1:5">
      <c r="A412" s="43" t="s">
        <v>3538</v>
      </c>
      <c r="B412" s="43" t="s">
        <v>4005</v>
      </c>
      <c r="C412" s="42" t="s">
        <v>123</v>
      </c>
      <c r="D412" s="44" t="s">
        <v>7</v>
      </c>
      <c r="E412" s="44">
        <v>1</v>
      </c>
    </row>
    <row r="413" spans="1:5">
      <c r="A413" s="43" t="s">
        <v>3538</v>
      </c>
      <c r="B413" s="43" t="s">
        <v>4006</v>
      </c>
      <c r="C413" s="42" t="s">
        <v>123</v>
      </c>
      <c r="D413" s="44" t="s">
        <v>7</v>
      </c>
      <c r="E413" s="44">
        <v>1</v>
      </c>
    </row>
    <row r="414" spans="1:5">
      <c r="A414" s="43" t="s">
        <v>3538</v>
      </c>
      <c r="B414" s="43" t="s">
        <v>4007</v>
      </c>
      <c r="C414" s="42" t="s">
        <v>123</v>
      </c>
      <c r="D414" s="44" t="s">
        <v>7</v>
      </c>
      <c r="E414" s="44">
        <v>1</v>
      </c>
    </row>
    <row r="415" spans="1:5">
      <c r="A415" s="43" t="s">
        <v>3538</v>
      </c>
      <c r="B415" s="43" t="s">
        <v>4008</v>
      </c>
      <c r="C415" s="42" t="s">
        <v>123</v>
      </c>
      <c r="D415" s="44" t="s">
        <v>7</v>
      </c>
      <c r="E415" s="44">
        <v>1</v>
      </c>
    </row>
    <row r="416" spans="1:5">
      <c r="A416" s="43" t="s">
        <v>3538</v>
      </c>
      <c r="B416" s="43" t="s">
        <v>4009</v>
      </c>
      <c r="C416" s="42" t="s">
        <v>123</v>
      </c>
      <c r="D416" s="44" t="s">
        <v>7</v>
      </c>
      <c r="E416" s="44">
        <v>1</v>
      </c>
    </row>
    <row r="417" spans="1:5">
      <c r="A417" s="43" t="s">
        <v>3538</v>
      </c>
      <c r="B417" s="43" t="s">
        <v>4010</v>
      </c>
      <c r="C417" s="42" t="s">
        <v>123</v>
      </c>
      <c r="D417" s="44" t="s">
        <v>7</v>
      </c>
      <c r="E417" s="44">
        <v>1</v>
      </c>
    </row>
    <row r="418" spans="1:5">
      <c r="A418" s="43" t="s">
        <v>3538</v>
      </c>
      <c r="B418" s="43" t="s">
        <v>4011</v>
      </c>
      <c r="C418" s="42" t="s">
        <v>123</v>
      </c>
      <c r="D418" s="44" t="s">
        <v>7</v>
      </c>
      <c r="E418" s="44">
        <v>1</v>
      </c>
    </row>
    <row r="419" spans="1:5">
      <c r="A419" s="43" t="s">
        <v>3538</v>
      </c>
      <c r="B419" s="43" t="s">
        <v>4012</v>
      </c>
      <c r="C419" s="42" t="s">
        <v>123</v>
      </c>
      <c r="D419" s="44" t="s">
        <v>7</v>
      </c>
      <c r="E419" s="44">
        <v>1</v>
      </c>
    </row>
    <row r="420" spans="1:5">
      <c r="A420" s="43" t="s">
        <v>3538</v>
      </c>
      <c r="B420" s="43" t="s">
        <v>4013</v>
      </c>
      <c r="C420" s="42" t="s">
        <v>123</v>
      </c>
      <c r="D420" s="44" t="s">
        <v>7</v>
      </c>
      <c r="E420" s="44">
        <v>1</v>
      </c>
    </row>
    <row r="421" spans="1:5">
      <c r="A421" s="43" t="s">
        <v>3538</v>
      </c>
      <c r="B421" s="43" t="s">
        <v>4014</v>
      </c>
      <c r="C421" s="42" t="s">
        <v>123</v>
      </c>
      <c r="D421" s="44" t="s">
        <v>7</v>
      </c>
      <c r="E421" s="44">
        <v>1</v>
      </c>
    </row>
    <row r="422" spans="1:5">
      <c r="A422" s="43" t="s">
        <v>3538</v>
      </c>
      <c r="B422" s="43" t="s">
        <v>4015</v>
      </c>
      <c r="C422" s="42" t="s">
        <v>95</v>
      </c>
      <c r="D422" s="44" t="s">
        <v>7</v>
      </c>
      <c r="E422" s="44">
        <v>1</v>
      </c>
    </row>
    <row r="423" spans="1:5">
      <c r="A423" s="43" t="s">
        <v>3538</v>
      </c>
      <c r="B423" s="43" t="s">
        <v>4016</v>
      </c>
      <c r="C423" s="42" t="s">
        <v>94</v>
      </c>
      <c r="D423" s="44" t="s">
        <v>7</v>
      </c>
      <c r="E423" s="44">
        <v>1</v>
      </c>
    </row>
    <row r="424" spans="1:5">
      <c r="A424" s="43" t="s">
        <v>3538</v>
      </c>
      <c r="B424" s="43" t="s">
        <v>4017</v>
      </c>
      <c r="C424" s="42" t="s">
        <v>3212</v>
      </c>
      <c r="D424" s="44" t="s">
        <v>7</v>
      </c>
      <c r="E424" s="44">
        <v>1</v>
      </c>
    </row>
    <row r="425" spans="1:5">
      <c r="A425" s="43" t="s">
        <v>3538</v>
      </c>
      <c r="B425" s="43" t="s">
        <v>4018</v>
      </c>
      <c r="C425" s="42" t="s">
        <v>4019</v>
      </c>
      <c r="D425" s="44" t="s">
        <v>7</v>
      </c>
      <c r="E425" s="44">
        <v>1</v>
      </c>
    </row>
    <row r="426" spans="1:5">
      <c r="A426" s="43" t="s">
        <v>3538</v>
      </c>
      <c r="B426" s="43" t="s">
        <v>4020</v>
      </c>
      <c r="C426" s="42" t="s">
        <v>49</v>
      </c>
      <c r="D426" s="44" t="s">
        <v>7</v>
      </c>
      <c r="E426" s="44">
        <v>1</v>
      </c>
    </row>
    <row r="427" spans="1:5">
      <c r="A427" s="43" t="s">
        <v>3538</v>
      </c>
      <c r="B427" s="43" t="s">
        <v>4021</v>
      </c>
      <c r="C427" s="42" t="s">
        <v>372</v>
      </c>
      <c r="D427" s="44" t="s">
        <v>7</v>
      </c>
      <c r="E427" s="44">
        <v>1</v>
      </c>
    </row>
    <row r="428" spans="1:5">
      <c r="A428" s="43" t="s">
        <v>3538</v>
      </c>
      <c r="B428" s="43" t="s">
        <v>4022</v>
      </c>
      <c r="C428" s="42" t="s">
        <v>330</v>
      </c>
      <c r="D428" s="44" t="s">
        <v>7</v>
      </c>
      <c r="E428" s="44">
        <v>1</v>
      </c>
    </row>
    <row r="429" spans="1:5">
      <c r="A429" s="43" t="s">
        <v>3538</v>
      </c>
      <c r="B429" s="43" t="s">
        <v>4023</v>
      </c>
      <c r="C429" s="42" t="s">
        <v>375</v>
      </c>
      <c r="D429" s="44" t="s">
        <v>7</v>
      </c>
      <c r="E429" s="44">
        <v>1</v>
      </c>
    </row>
    <row r="430" spans="1:5">
      <c r="A430" s="43" t="s">
        <v>3538</v>
      </c>
      <c r="B430" s="43" t="s">
        <v>4024</v>
      </c>
      <c r="C430" s="42" t="s">
        <v>367</v>
      </c>
      <c r="D430" s="44" t="s">
        <v>7</v>
      </c>
      <c r="E430" s="44">
        <v>1</v>
      </c>
    </row>
    <row r="431" spans="1:5">
      <c r="A431" s="43" t="s">
        <v>3538</v>
      </c>
      <c r="B431" s="43" t="s">
        <v>4025</v>
      </c>
      <c r="C431" s="42" t="s">
        <v>95</v>
      </c>
      <c r="D431" s="44" t="s">
        <v>7</v>
      </c>
      <c r="E431" s="44">
        <v>1</v>
      </c>
    </row>
    <row r="432" spans="1:5">
      <c r="A432" s="43" t="s">
        <v>3538</v>
      </c>
      <c r="B432" s="43" t="s">
        <v>4026</v>
      </c>
      <c r="C432" s="42" t="s">
        <v>95</v>
      </c>
      <c r="D432" s="44" t="s">
        <v>7</v>
      </c>
      <c r="E432" s="44">
        <v>1</v>
      </c>
    </row>
    <row r="433" spans="1:5">
      <c r="A433" s="43" t="s">
        <v>3538</v>
      </c>
      <c r="B433" s="43" t="s">
        <v>4027</v>
      </c>
      <c r="C433" s="42" t="s">
        <v>130</v>
      </c>
      <c r="D433" s="44" t="s">
        <v>7</v>
      </c>
      <c r="E433" s="44">
        <v>1</v>
      </c>
    </row>
    <row r="434" spans="1:5">
      <c r="A434" s="43" t="s">
        <v>3538</v>
      </c>
      <c r="B434" s="43" t="s">
        <v>4028</v>
      </c>
      <c r="C434" s="42" t="s">
        <v>96</v>
      </c>
      <c r="D434" s="44" t="s">
        <v>7</v>
      </c>
      <c r="E434" s="44">
        <v>1</v>
      </c>
    </row>
    <row r="435" spans="1:5">
      <c r="A435" s="43" t="s">
        <v>3538</v>
      </c>
      <c r="B435" s="43" t="s">
        <v>4029</v>
      </c>
      <c r="C435" s="42" t="s">
        <v>4030</v>
      </c>
      <c r="D435" s="44" t="s">
        <v>7</v>
      </c>
      <c r="E435" s="44">
        <v>1</v>
      </c>
    </row>
    <row r="436" spans="1:5">
      <c r="A436" s="43" t="s">
        <v>3538</v>
      </c>
      <c r="B436" s="43" t="s">
        <v>4031</v>
      </c>
      <c r="C436" s="42" t="s">
        <v>96</v>
      </c>
      <c r="D436" s="44" t="s">
        <v>7</v>
      </c>
      <c r="E436" s="44">
        <v>1</v>
      </c>
    </row>
    <row r="437" spans="1:5">
      <c r="A437" s="43" t="s">
        <v>3538</v>
      </c>
      <c r="B437" s="43" t="s">
        <v>4032</v>
      </c>
      <c r="C437" s="42" t="s">
        <v>96</v>
      </c>
      <c r="D437" s="44" t="s">
        <v>7</v>
      </c>
      <c r="E437" s="44">
        <v>1</v>
      </c>
    </row>
    <row r="438" spans="1:5">
      <c r="A438" s="43" t="s">
        <v>3538</v>
      </c>
      <c r="B438" s="43" t="s">
        <v>4033</v>
      </c>
      <c r="C438" s="42" t="s">
        <v>96</v>
      </c>
      <c r="D438" s="44" t="s">
        <v>7</v>
      </c>
      <c r="E438" s="44">
        <v>1</v>
      </c>
    </row>
    <row r="439" spans="1:5">
      <c r="A439" s="43" t="s">
        <v>3538</v>
      </c>
      <c r="B439" s="43" t="s">
        <v>4034</v>
      </c>
      <c r="C439" s="42" t="s">
        <v>96</v>
      </c>
      <c r="D439" s="44" t="s">
        <v>7</v>
      </c>
      <c r="E439" s="44">
        <v>1</v>
      </c>
    </row>
    <row r="440" spans="1:5">
      <c r="A440" s="43" t="s">
        <v>3538</v>
      </c>
      <c r="B440" s="43" t="s">
        <v>4035</v>
      </c>
      <c r="C440" s="42" t="s">
        <v>96</v>
      </c>
      <c r="D440" s="44" t="s">
        <v>7</v>
      </c>
      <c r="E440" s="44">
        <v>1</v>
      </c>
    </row>
    <row r="441" spans="1:5">
      <c r="A441" s="43" t="s">
        <v>3538</v>
      </c>
      <c r="B441" s="43" t="s">
        <v>4036</v>
      </c>
      <c r="C441" s="42" t="s">
        <v>96</v>
      </c>
      <c r="D441" s="44" t="s">
        <v>7</v>
      </c>
      <c r="E441" s="44">
        <v>1</v>
      </c>
    </row>
    <row r="442" spans="1:5">
      <c r="A442" s="43" t="s">
        <v>3538</v>
      </c>
      <c r="B442" s="43" t="s">
        <v>4037</v>
      </c>
      <c r="C442" s="42" t="s">
        <v>96</v>
      </c>
      <c r="D442" s="44" t="s">
        <v>7</v>
      </c>
      <c r="E442" s="44">
        <v>1</v>
      </c>
    </row>
    <row r="443" spans="1:5">
      <c r="A443" s="43" t="s">
        <v>3538</v>
      </c>
      <c r="B443" s="43" t="s">
        <v>4038</v>
      </c>
      <c r="C443" s="42" t="s">
        <v>96</v>
      </c>
      <c r="D443" s="44" t="s">
        <v>7</v>
      </c>
      <c r="E443" s="44">
        <v>1</v>
      </c>
    </row>
    <row r="444" spans="1:5">
      <c r="A444" s="43" t="s">
        <v>3538</v>
      </c>
      <c r="B444" s="43" t="s">
        <v>4039</v>
      </c>
      <c r="C444" s="42" t="s">
        <v>96</v>
      </c>
      <c r="D444" s="44" t="s">
        <v>7</v>
      </c>
      <c r="E444" s="44">
        <v>1</v>
      </c>
    </row>
    <row r="445" spans="1:5">
      <c r="A445" s="43" t="s">
        <v>3538</v>
      </c>
      <c r="B445" s="43" t="s">
        <v>4040</v>
      </c>
      <c r="C445" s="42" t="s">
        <v>96</v>
      </c>
      <c r="D445" s="44" t="s">
        <v>7</v>
      </c>
      <c r="E445" s="44">
        <v>1</v>
      </c>
    </row>
    <row r="446" spans="1:5">
      <c r="A446" s="43" t="s">
        <v>3538</v>
      </c>
      <c r="B446" s="43" t="s">
        <v>4041</v>
      </c>
      <c r="C446" s="42" t="s">
        <v>96</v>
      </c>
      <c r="D446" s="44" t="s">
        <v>7</v>
      </c>
      <c r="E446" s="44">
        <v>1</v>
      </c>
    </row>
    <row r="447" spans="1:5">
      <c r="A447" s="43" t="s">
        <v>3538</v>
      </c>
      <c r="B447" s="43" t="s">
        <v>4042</v>
      </c>
      <c r="C447" s="42" t="s">
        <v>96</v>
      </c>
      <c r="D447" s="44" t="s">
        <v>7</v>
      </c>
      <c r="E447" s="44">
        <v>1</v>
      </c>
    </row>
    <row r="448" spans="1:5">
      <c r="A448" s="43" t="s">
        <v>3538</v>
      </c>
      <c r="B448" s="43" t="s">
        <v>4043</v>
      </c>
      <c r="C448" s="42" t="s">
        <v>96</v>
      </c>
      <c r="D448" s="44" t="s">
        <v>7</v>
      </c>
      <c r="E448" s="44">
        <v>1</v>
      </c>
    </row>
    <row r="449" spans="1:5">
      <c r="A449" s="43" t="s">
        <v>3538</v>
      </c>
      <c r="B449" s="43" t="s">
        <v>4044</v>
      </c>
      <c r="C449" s="42" t="s">
        <v>96</v>
      </c>
      <c r="D449" s="44" t="s">
        <v>7</v>
      </c>
      <c r="E449" s="44">
        <v>1</v>
      </c>
    </row>
    <row r="450" spans="1:5">
      <c r="A450" s="43" t="s">
        <v>3538</v>
      </c>
      <c r="B450" s="43" t="s">
        <v>4045</v>
      </c>
      <c r="C450" s="42" t="s">
        <v>96</v>
      </c>
      <c r="D450" s="44" t="s">
        <v>7</v>
      </c>
      <c r="E450" s="44">
        <v>1</v>
      </c>
    </row>
    <row r="451" spans="1:5">
      <c r="A451" s="43" t="s">
        <v>3538</v>
      </c>
      <c r="B451" s="43" t="s">
        <v>4046</v>
      </c>
      <c r="C451" s="42" t="s">
        <v>96</v>
      </c>
      <c r="D451" s="44" t="s">
        <v>7</v>
      </c>
      <c r="E451" s="44">
        <v>1</v>
      </c>
    </row>
    <row r="452" spans="1:5">
      <c r="A452" s="43" t="s">
        <v>3538</v>
      </c>
      <c r="B452" s="43" t="s">
        <v>4047</v>
      </c>
      <c r="C452" s="42" t="s">
        <v>96</v>
      </c>
      <c r="D452" s="44" t="s">
        <v>7</v>
      </c>
      <c r="E452" s="44">
        <v>1</v>
      </c>
    </row>
    <row r="453" spans="1:5">
      <c r="A453" s="43" t="s">
        <v>3538</v>
      </c>
      <c r="B453" s="43" t="s">
        <v>4048</v>
      </c>
      <c r="C453" s="42" t="s">
        <v>96</v>
      </c>
      <c r="D453" s="44" t="s">
        <v>7</v>
      </c>
      <c r="E453" s="44">
        <v>1</v>
      </c>
    </row>
    <row r="454" spans="1:5">
      <c r="A454" s="43" t="s">
        <v>3538</v>
      </c>
      <c r="B454" s="43" t="s">
        <v>4049</v>
      </c>
      <c r="C454" s="42" t="s">
        <v>96</v>
      </c>
      <c r="D454" s="44" t="s">
        <v>7</v>
      </c>
      <c r="E454" s="44">
        <v>1</v>
      </c>
    </row>
    <row r="455" spans="1:5">
      <c r="A455" s="43" t="s">
        <v>3538</v>
      </c>
      <c r="B455" s="43" t="s">
        <v>4050</v>
      </c>
      <c r="C455" s="42" t="s">
        <v>96</v>
      </c>
      <c r="D455" s="44" t="s">
        <v>7</v>
      </c>
      <c r="E455" s="44">
        <v>1</v>
      </c>
    </row>
    <row r="456" spans="1:5">
      <c r="A456" s="43" t="s">
        <v>3538</v>
      </c>
      <c r="B456" s="43" t="s">
        <v>4051</v>
      </c>
      <c r="C456" s="42" t="s">
        <v>96</v>
      </c>
      <c r="D456" s="44" t="s">
        <v>7</v>
      </c>
      <c r="E456" s="44">
        <v>1</v>
      </c>
    </row>
    <row r="457" spans="1:5">
      <c r="A457" s="43" t="s">
        <v>3538</v>
      </c>
      <c r="B457" s="43" t="s">
        <v>4052</v>
      </c>
      <c r="C457" s="42" t="s">
        <v>96</v>
      </c>
      <c r="D457" s="44" t="s">
        <v>7</v>
      </c>
      <c r="E457" s="44">
        <v>1</v>
      </c>
    </row>
    <row r="458" spans="1:5">
      <c r="A458" s="43" t="s">
        <v>3538</v>
      </c>
      <c r="B458" s="43" t="s">
        <v>4053</v>
      </c>
      <c r="C458" s="42" t="s">
        <v>96</v>
      </c>
      <c r="D458" s="44" t="s">
        <v>7</v>
      </c>
      <c r="E458" s="44">
        <v>1</v>
      </c>
    </row>
    <row r="459" spans="1:5">
      <c r="A459" s="43" t="s">
        <v>3538</v>
      </c>
      <c r="B459" s="43" t="s">
        <v>4054</v>
      </c>
      <c r="C459" s="42" t="s">
        <v>96</v>
      </c>
      <c r="D459" s="44" t="s">
        <v>7</v>
      </c>
      <c r="E459" s="44">
        <v>1</v>
      </c>
    </row>
    <row r="460" spans="1:5">
      <c r="A460" s="43" t="s">
        <v>3538</v>
      </c>
      <c r="B460" s="43" t="s">
        <v>4055</v>
      </c>
      <c r="C460" s="42" t="s">
        <v>96</v>
      </c>
      <c r="D460" s="44" t="s">
        <v>7</v>
      </c>
      <c r="E460" s="44">
        <v>1</v>
      </c>
    </row>
    <row r="461" spans="1:5">
      <c r="A461" s="43" t="s">
        <v>3538</v>
      </c>
      <c r="B461" s="43" t="s">
        <v>4056</v>
      </c>
      <c r="C461" s="42" t="s">
        <v>96</v>
      </c>
      <c r="D461" s="44" t="s">
        <v>7</v>
      </c>
      <c r="E461" s="44">
        <v>1</v>
      </c>
    </row>
    <row r="462" spans="1:5">
      <c r="A462" s="43" t="s">
        <v>3538</v>
      </c>
      <c r="B462" s="43" t="s">
        <v>4057</v>
      </c>
      <c r="C462" s="42" t="s">
        <v>96</v>
      </c>
      <c r="D462" s="44" t="s">
        <v>7</v>
      </c>
      <c r="E462" s="44">
        <v>1</v>
      </c>
    </row>
    <row r="463" spans="1:5">
      <c r="A463" s="43" t="s">
        <v>3538</v>
      </c>
      <c r="B463" s="43" t="s">
        <v>4058</v>
      </c>
      <c r="C463" s="42" t="s">
        <v>96</v>
      </c>
      <c r="D463" s="44" t="s">
        <v>7</v>
      </c>
      <c r="E463" s="44">
        <v>1</v>
      </c>
    </row>
    <row r="464" spans="1:5">
      <c r="A464" s="43" t="s">
        <v>3538</v>
      </c>
      <c r="B464" s="43" t="s">
        <v>4059</v>
      </c>
      <c r="C464" s="42" t="s">
        <v>96</v>
      </c>
      <c r="D464" s="44" t="s">
        <v>7</v>
      </c>
      <c r="E464" s="44">
        <v>1</v>
      </c>
    </row>
    <row r="465" spans="1:5">
      <c r="A465" s="43" t="s">
        <v>3538</v>
      </c>
      <c r="B465" s="43" t="s">
        <v>4060</v>
      </c>
      <c r="C465" s="42" t="s">
        <v>96</v>
      </c>
      <c r="D465" s="44" t="s">
        <v>7</v>
      </c>
      <c r="E465" s="44">
        <v>1</v>
      </c>
    </row>
    <row r="466" spans="1:5">
      <c r="A466" s="43" t="s">
        <v>3538</v>
      </c>
      <c r="B466" s="43" t="s">
        <v>4061</v>
      </c>
      <c r="C466" s="42" t="s">
        <v>96</v>
      </c>
      <c r="D466" s="44" t="s">
        <v>7</v>
      </c>
      <c r="E466" s="44">
        <v>1</v>
      </c>
    </row>
    <row r="467" spans="1:5">
      <c r="A467" s="43" t="s">
        <v>3538</v>
      </c>
      <c r="B467" s="43" t="s">
        <v>4062</v>
      </c>
      <c r="C467" s="42" t="s">
        <v>96</v>
      </c>
      <c r="D467" s="44" t="s">
        <v>7</v>
      </c>
      <c r="E467" s="44">
        <v>1</v>
      </c>
    </row>
    <row r="468" spans="1:5">
      <c r="A468" s="43" t="s">
        <v>3538</v>
      </c>
      <c r="B468" s="43" t="s">
        <v>4063</v>
      </c>
      <c r="C468" s="42" t="s">
        <v>96</v>
      </c>
      <c r="D468" s="44" t="s">
        <v>7</v>
      </c>
      <c r="E468" s="44">
        <v>1</v>
      </c>
    </row>
    <row r="469" spans="1:5">
      <c r="A469" s="43" t="s">
        <v>3538</v>
      </c>
      <c r="B469" s="43" t="s">
        <v>4064</v>
      </c>
      <c r="C469" s="42" t="s">
        <v>96</v>
      </c>
      <c r="D469" s="44" t="s">
        <v>7</v>
      </c>
      <c r="E469" s="44">
        <v>1</v>
      </c>
    </row>
    <row r="470" spans="1:5">
      <c r="A470" s="43" t="s">
        <v>3538</v>
      </c>
      <c r="B470" s="43" t="s">
        <v>4065</v>
      </c>
      <c r="C470" s="42" t="s">
        <v>96</v>
      </c>
      <c r="D470" s="44" t="s">
        <v>7</v>
      </c>
      <c r="E470" s="44">
        <v>1</v>
      </c>
    </row>
    <row r="471" spans="1:5">
      <c r="A471" s="43" t="s">
        <v>3538</v>
      </c>
      <c r="B471" s="43" t="s">
        <v>4066</v>
      </c>
      <c r="C471" s="42" t="s">
        <v>96</v>
      </c>
      <c r="D471" s="44" t="s">
        <v>7</v>
      </c>
      <c r="E471" s="44">
        <v>1</v>
      </c>
    </row>
    <row r="472" spans="1:5">
      <c r="A472" s="43" t="s">
        <v>3538</v>
      </c>
      <c r="B472" s="43" t="s">
        <v>4067</v>
      </c>
      <c r="C472" s="42" t="s">
        <v>96</v>
      </c>
      <c r="D472" s="44" t="s">
        <v>7</v>
      </c>
      <c r="E472" s="44">
        <v>1</v>
      </c>
    </row>
    <row r="473" spans="1:5">
      <c r="A473" s="43" t="s">
        <v>3538</v>
      </c>
      <c r="B473" s="43" t="s">
        <v>4068</v>
      </c>
      <c r="C473" s="42" t="s">
        <v>96</v>
      </c>
      <c r="D473" s="44" t="s">
        <v>7</v>
      </c>
      <c r="E473" s="44">
        <v>1</v>
      </c>
    </row>
    <row r="474" spans="1:5">
      <c r="A474" s="43" t="s">
        <v>3538</v>
      </c>
      <c r="B474" s="43" t="s">
        <v>4069</v>
      </c>
      <c r="C474" s="42" t="s">
        <v>96</v>
      </c>
      <c r="D474" s="44" t="s">
        <v>7</v>
      </c>
      <c r="E474" s="44">
        <v>1</v>
      </c>
    </row>
    <row r="475" spans="1:5">
      <c r="A475" s="43" t="s">
        <v>3538</v>
      </c>
      <c r="B475" s="43" t="s">
        <v>4070</v>
      </c>
      <c r="C475" s="42" t="s">
        <v>96</v>
      </c>
      <c r="D475" s="44" t="s">
        <v>7</v>
      </c>
      <c r="E475" s="44">
        <v>1</v>
      </c>
    </row>
    <row r="476" spans="1:5">
      <c r="A476" s="43" t="s">
        <v>3538</v>
      </c>
      <c r="B476" s="43" t="s">
        <v>4071</v>
      </c>
      <c r="C476" s="42" t="s">
        <v>3156</v>
      </c>
      <c r="D476" s="44" t="s">
        <v>7</v>
      </c>
      <c r="E476" s="44">
        <v>1</v>
      </c>
    </row>
    <row r="477" spans="1:5">
      <c r="A477" s="43" t="s">
        <v>3538</v>
      </c>
      <c r="B477" s="43" t="s">
        <v>4072</v>
      </c>
      <c r="C477" s="42" t="s">
        <v>3135</v>
      </c>
      <c r="D477" s="44" t="s">
        <v>7</v>
      </c>
      <c r="E477" s="44">
        <v>1</v>
      </c>
    </row>
    <row r="478" spans="1:5">
      <c r="A478" s="43" t="s">
        <v>3538</v>
      </c>
      <c r="B478" s="43" t="s">
        <v>4073</v>
      </c>
      <c r="C478" s="42" t="s">
        <v>751</v>
      </c>
      <c r="D478" s="44" t="s">
        <v>7</v>
      </c>
      <c r="E478" s="44">
        <v>1</v>
      </c>
    </row>
    <row r="479" spans="1:5">
      <c r="A479" s="43" t="s">
        <v>3538</v>
      </c>
      <c r="B479" s="43" t="s">
        <v>4074</v>
      </c>
      <c r="C479" s="42" t="s">
        <v>367</v>
      </c>
      <c r="D479" s="44" t="s">
        <v>7</v>
      </c>
      <c r="E479" s="44">
        <v>1</v>
      </c>
    </row>
    <row r="480" spans="1:5">
      <c r="A480" s="43" t="s">
        <v>3538</v>
      </c>
      <c r="B480" s="43" t="s">
        <v>4075</v>
      </c>
      <c r="C480" s="42" t="s">
        <v>811</v>
      </c>
      <c r="D480" s="44" t="s">
        <v>7</v>
      </c>
      <c r="E480" s="44">
        <v>1</v>
      </c>
    </row>
    <row r="481" spans="1:5">
      <c r="A481" s="43" t="s">
        <v>3538</v>
      </c>
      <c r="B481" s="43" t="s">
        <v>4076</v>
      </c>
      <c r="C481" s="42" t="s">
        <v>96</v>
      </c>
      <c r="D481" s="44" t="s">
        <v>7</v>
      </c>
      <c r="E481" s="44">
        <v>1</v>
      </c>
    </row>
    <row r="482" spans="1:5">
      <c r="A482" s="43" t="s">
        <v>3538</v>
      </c>
      <c r="B482" s="43" t="s">
        <v>4077</v>
      </c>
      <c r="C482" s="42" t="s">
        <v>96</v>
      </c>
      <c r="D482" s="44" t="s">
        <v>7</v>
      </c>
      <c r="E482" s="44">
        <v>1</v>
      </c>
    </row>
    <row r="483" spans="1:5">
      <c r="A483" s="43" t="s">
        <v>3538</v>
      </c>
      <c r="B483" s="43" t="s">
        <v>4078</v>
      </c>
      <c r="C483" s="42" t="s">
        <v>96</v>
      </c>
      <c r="D483" s="44" t="s">
        <v>7</v>
      </c>
      <c r="E483" s="44">
        <v>1</v>
      </c>
    </row>
    <row r="484" spans="1:5">
      <c r="A484" s="43" t="s">
        <v>3538</v>
      </c>
      <c r="B484" s="43" t="s">
        <v>4079</v>
      </c>
      <c r="C484" s="42" t="s">
        <v>96</v>
      </c>
      <c r="D484" s="44" t="s">
        <v>7</v>
      </c>
      <c r="E484" s="44">
        <v>1</v>
      </c>
    </row>
    <row r="485" spans="1:5">
      <c r="A485" s="43" t="s">
        <v>3538</v>
      </c>
      <c r="B485" s="43" t="s">
        <v>4080</v>
      </c>
      <c r="C485" s="42" t="s">
        <v>96</v>
      </c>
      <c r="D485" s="44" t="s">
        <v>7</v>
      </c>
      <c r="E485" s="44">
        <v>1</v>
      </c>
    </row>
    <row r="486" spans="1:5">
      <c r="A486" s="43" t="s">
        <v>3538</v>
      </c>
      <c r="B486" s="43" t="s">
        <v>4081</v>
      </c>
      <c r="C486" s="42" t="s">
        <v>96</v>
      </c>
      <c r="D486" s="44" t="s">
        <v>7</v>
      </c>
      <c r="E486" s="44">
        <v>1</v>
      </c>
    </row>
    <row r="487" spans="1:5">
      <c r="A487" s="43" t="s">
        <v>3538</v>
      </c>
      <c r="B487" s="43" t="s">
        <v>4082</v>
      </c>
      <c r="C487" s="42" t="s">
        <v>96</v>
      </c>
      <c r="D487" s="44" t="s">
        <v>7</v>
      </c>
      <c r="E487" s="44">
        <v>1</v>
      </c>
    </row>
    <row r="488" spans="1:5">
      <c r="A488" s="43" t="s">
        <v>3538</v>
      </c>
      <c r="B488" s="43" t="s">
        <v>4083</v>
      </c>
      <c r="C488" s="42" t="s">
        <v>96</v>
      </c>
      <c r="D488" s="44" t="s">
        <v>7</v>
      </c>
      <c r="E488" s="44">
        <v>1</v>
      </c>
    </row>
    <row r="489" spans="1:5">
      <c r="A489" s="43" t="s">
        <v>3538</v>
      </c>
      <c r="B489" s="43" t="s">
        <v>4084</v>
      </c>
      <c r="C489" s="42" t="s">
        <v>95</v>
      </c>
      <c r="D489" s="44" t="s">
        <v>7</v>
      </c>
      <c r="E489" s="44">
        <v>1</v>
      </c>
    </row>
    <row r="490" spans="1:5">
      <c r="A490" s="43" t="s">
        <v>3538</v>
      </c>
      <c r="B490" s="43" t="s">
        <v>4085</v>
      </c>
      <c r="C490" s="42" t="s">
        <v>95</v>
      </c>
      <c r="D490" s="44" t="s">
        <v>7</v>
      </c>
      <c r="E490" s="44">
        <v>1</v>
      </c>
    </row>
    <row r="491" spans="1:5">
      <c r="A491" s="43" t="s">
        <v>3538</v>
      </c>
      <c r="B491" s="43" t="s">
        <v>4086</v>
      </c>
      <c r="C491" s="42" t="s">
        <v>95</v>
      </c>
      <c r="D491" s="44" t="s">
        <v>7</v>
      </c>
      <c r="E491" s="44">
        <v>1</v>
      </c>
    </row>
    <row r="492" spans="1:5">
      <c r="A492" s="43" t="s">
        <v>3538</v>
      </c>
      <c r="C492" s="42" t="s">
        <v>2478</v>
      </c>
      <c r="D492" s="44" t="s">
        <v>7</v>
      </c>
      <c r="E492" s="44">
        <v>1</v>
      </c>
    </row>
    <row r="493" spans="1:5">
      <c r="A493" s="43" t="s">
        <v>3538</v>
      </c>
      <c r="B493" s="43" t="s">
        <v>4087</v>
      </c>
      <c r="C493" s="42" t="s">
        <v>4088</v>
      </c>
      <c r="D493" s="44" t="s">
        <v>7</v>
      </c>
      <c r="E493" s="44">
        <v>1</v>
      </c>
    </row>
    <row r="494" spans="1:5">
      <c r="A494" s="43" t="s">
        <v>3538</v>
      </c>
      <c r="B494" s="43" t="s">
        <v>4089</v>
      </c>
      <c r="C494" s="42" t="s">
        <v>4090</v>
      </c>
      <c r="D494" s="44" t="s">
        <v>7</v>
      </c>
      <c r="E494" s="44">
        <v>1</v>
      </c>
    </row>
    <row r="495" spans="1:5">
      <c r="A495" s="43" t="s">
        <v>3538</v>
      </c>
      <c r="B495" s="43" t="s">
        <v>4091</v>
      </c>
      <c r="C495" s="42" t="s">
        <v>96</v>
      </c>
      <c r="D495" s="44" t="s">
        <v>7</v>
      </c>
      <c r="E495" s="44">
        <v>1</v>
      </c>
    </row>
    <row r="496" spans="1:5">
      <c r="A496" s="43" t="s">
        <v>3538</v>
      </c>
      <c r="B496" s="43" t="s">
        <v>4092</v>
      </c>
      <c r="C496" s="42" t="s">
        <v>96</v>
      </c>
      <c r="D496" s="44" t="s">
        <v>7</v>
      </c>
      <c r="E496" s="44">
        <v>1</v>
      </c>
    </row>
    <row r="497" spans="1:5">
      <c r="A497" s="43" t="s">
        <v>3538</v>
      </c>
      <c r="B497" s="43" t="s">
        <v>4093</v>
      </c>
      <c r="C497" s="42" t="s">
        <v>96</v>
      </c>
      <c r="D497" s="44" t="s">
        <v>7</v>
      </c>
      <c r="E497" s="44">
        <v>1</v>
      </c>
    </row>
    <row r="498" spans="1:5">
      <c r="A498" s="43" t="s">
        <v>3538</v>
      </c>
      <c r="B498" s="43" t="s">
        <v>4094</v>
      </c>
      <c r="C498" s="42" t="s">
        <v>96</v>
      </c>
      <c r="D498" s="44" t="s">
        <v>7</v>
      </c>
      <c r="E498" s="44">
        <v>1</v>
      </c>
    </row>
    <row r="499" spans="1:5">
      <c r="A499" s="43" t="s">
        <v>3538</v>
      </c>
      <c r="B499" s="43" t="s">
        <v>4095</v>
      </c>
      <c r="C499" s="42" t="s">
        <v>96</v>
      </c>
      <c r="D499" s="44" t="s">
        <v>7</v>
      </c>
      <c r="E499" s="44">
        <v>1</v>
      </c>
    </row>
    <row r="500" spans="1:5">
      <c r="A500" s="43" t="s">
        <v>3538</v>
      </c>
      <c r="B500" s="43" t="s">
        <v>4096</v>
      </c>
      <c r="C500" s="42" t="s">
        <v>96</v>
      </c>
      <c r="D500" s="44" t="s">
        <v>7</v>
      </c>
      <c r="E500" s="44">
        <v>1</v>
      </c>
    </row>
    <row r="501" spans="1:5">
      <c r="A501" s="43" t="s">
        <v>3538</v>
      </c>
      <c r="B501" s="43" t="s">
        <v>4097</v>
      </c>
      <c r="C501" s="42" t="s">
        <v>96</v>
      </c>
      <c r="D501" s="44" t="s">
        <v>7</v>
      </c>
      <c r="E501" s="44">
        <v>1</v>
      </c>
    </row>
    <row r="502" spans="1:5">
      <c r="A502" s="43" t="s">
        <v>3538</v>
      </c>
      <c r="B502" s="43" t="s">
        <v>4098</v>
      </c>
      <c r="C502" s="42" t="s">
        <v>96</v>
      </c>
      <c r="D502" s="44" t="s">
        <v>7</v>
      </c>
      <c r="E502" s="44">
        <v>1</v>
      </c>
    </row>
    <row r="503" spans="1:5">
      <c r="A503" s="43" t="s">
        <v>3538</v>
      </c>
      <c r="B503" s="43" t="s">
        <v>4099</v>
      </c>
      <c r="C503" s="42" t="s">
        <v>96</v>
      </c>
      <c r="D503" s="44" t="s">
        <v>7</v>
      </c>
      <c r="E503" s="44">
        <v>1</v>
      </c>
    </row>
    <row r="504" spans="1:5">
      <c r="A504" s="43" t="s">
        <v>3538</v>
      </c>
      <c r="B504" s="43" t="s">
        <v>4100</v>
      </c>
      <c r="C504" s="42" t="s">
        <v>96</v>
      </c>
      <c r="D504" s="44" t="s">
        <v>7</v>
      </c>
      <c r="E504" s="44">
        <v>1</v>
      </c>
    </row>
    <row r="505" spans="1:5">
      <c r="A505" s="43" t="s">
        <v>3538</v>
      </c>
      <c r="B505" s="43" t="s">
        <v>4101</v>
      </c>
      <c r="C505" s="42" t="s">
        <v>96</v>
      </c>
      <c r="D505" s="44" t="s">
        <v>7</v>
      </c>
      <c r="E505" s="44">
        <v>1</v>
      </c>
    </row>
    <row r="506" spans="1:5">
      <c r="A506" s="43" t="s">
        <v>3538</v>
      </c>
      <c r="B506" s="43" t="s">
        <v>4102</v>
      </c>
      <c r="C506" s="42" t="s">
        <v>96</v>
      </c>
      <c r="D506" s="44" t="s">
        <v>7</v>
      </c>
      <c r="E506" s="44">
        <v>1</v>
      </c>
    </row>
    <row r="507" spans="1:5">
      <c r="A507" s="43" t="s">
        <v>3538</v>
      </c>
      <c r="B507" s="43" t="s">
        <v>4103</v>
      </c>
      <c r="C507" s="42" t="s">
        <v>96</v>
      </c>
      <c r="D507" s="44" t="s">
        <v>7</v>
      </c>
      <c r="E507" s="44">
        <v>1</v>
      </c>
    </row>
    <row r="508" spans="1:5">
      <c r="A508" s="43" t="s">
        <v>3538</v>
      </c>
      <c r="B508" s="43" t="s">
        <v>4104</v>
      </c>
      <c r="C508" s="42" t="s">
        <v>96</v>
      </c>
      <c r="D508" s="44" t="s">
        <v>7</v>
      </c>
      <c r="E508" s="44">
        <v>1</v>
      </c>
    </row>
    <row r="509" spans="1:5">
      <c r="A509" s="43" t="s">
        <v>3538</v>
      </c>
      <c r="B509" s="43" t="s">
        <v>4105</v>
      </c>
      <c r="C509" s="42" t="s">
        <v>96</v>
      </c>
      <c r="D509" s="44" t="s">
        <v>7</v>
      </c>
      <c r="E509" s="44">
        <v>1</v>
      </c>
    </row>
    <row r="510" spans="1:5">
      <c r="A510" s="43" t="s">
        <v>3538</v>
      </c>
      <c r="B510" s="43" t="s">
        <v>4106</v>
      </c>
      <c r="C510" s="42" t="s">
        <v>96</v>
      </c>
      <c r="D510" s="44" t="s">
        <v>7</v>
      </c>
      <c r="E510" s="44">
        <v>1</v>
      </c>
    </row>
    <row r="511" spans="1:5">
      <c r="A511" s="43" t="s">
        <v>3538</v>
      </c>
      <c r="B511" s="43" t="s">
        <v>4107</v>
      </c>
      <c r="C511" s="42" t="s">
        <v>96</v>
      </c>
      <c r="D511" s="44" t="s">
        <v>7</v>
      </c>
      <c r="E511" s="44">
        <v>1</v>
      </c>
    </row>
    <row r="512" spans="1:5">
      <c r="A512" s="43" t="s">
        <v>3538</v>
      </c>
      <c r="B512" s="43" t="s">
        <v>4108</v>
      </c>
      <c r="C512" s="42" t="s">
        <v>96</v>
      </c>
      <c r="D512" s="44" t="s">
        <v>7</v>
      </c>
      <c r="E512" s="44">
        <v>1</v>
      </c>
    </row>
    <row r="513" spans="1:5">
      <c r="A513" s="43" t="s">
        <v>3538</v>
      </c>
      <c r="B513" s="43" t="s">
        <v>4109</v>
      </c>
      <c r="C513" s="42" t="s">
        <v>96</v>
      </c>
      <c r="D513" s="44" t="s">
        <v>7</v>
      </c>
      <c r="E513" s="44">
        <v>1</v>
      </c>
    </row>
    <row r="514" spans="1:5">
      <c r="A514" s="43" t="s">
        <v>3538</v>
      </c>
      <c r="B514" s="43" t="s">
        <v>4110</v>
      </c>
      <c r="C514" s="42" t="s">
        <v>96</v>
      </c>
      <c r="D514" s="44" t="s">
        <v>7</v>
      </c>
      <c r="E514" s="44">
        <v>1</v>
      </c>
    </row>
    <row r="515" spans="1:5">
      <c r="A515" s="43" t="s">
        <v>3538</v>
      </c>
      <c r="B515" s="43" t="s">
        <v>4111</v>
      </c>
      <c r="C515" s="42" t="s">
        <v>96</v>
      </c>
      <c r="D515" s="44" t="s">
        <v>7</v>
      </c>
      <c r="E515" s="44">
        <v>1</v>
      </c>
    </row>
    <row r="516" spans="1:5">
      <c r="A516" s="43" t="s">
        <v>3538</v>
      </c>
      <c r="B516" s="43" t="s">
        <v>4112</v>
      </c>
      <c r="C516" s="42" t="s">
        <v>96</v>
      </c>
      <c r="D516" s="44" t="s">
        <v>7</v>
      </c>
      <c r="E516" s="44">
        <v>1</v>
      </c>
    </row>
    <row r="517" spans="1:5">
      <c r="A517" s="43" t="s">
        <v>3538</v>
      </c>
      <c r="B517" s="43" t="s">
        <v>4113</v>
      </c>
      <c r="C517" s="42" t="s">
        <v>96</v>
      </c>
      <c r="D517" s="44" t="s">
        <v>7</v>
      </c>
      <c r="E517" s="44">
        <v>1</v>
      </c>
    </row>
    <row r="518" spans="1:5">
      <c r="A518" s="43" t="s">
        <v>3538</v>
      </c>
      <c r="B518" s="43" t="s">
        <v>4114</v>
      </c>
      <c r="C518" s="42" t="s">
        <v>96</v>
      </c>
      <c r="D518" s="44" t="s">
        <v>7</v>
      </c>
      <c r="E518" s="44">
        <v>1</v>
      </c>
    </row>
    <row r="519" spans="1:5">
      <c r="A519" s="43" t="s">
        <v>3538</v>
      </c>
      <c r="B519" s="43" t="s">
        <v>4115</v>
      </c>
      <c r="C519" s="42" t="s">
        <v>96</v>
      </c>
      <c r="D519" s="44" t="s">
        <v>7</v>
      </c>
      <c r="E519" s="44">
        <v>1</v>
      </c>
    </row>
    <row r="520" spans="1:5">
      <c r="A520" s="43" t="s">
        <v>3538</v>
      </c>
      <c r="B520" s="43" t="s">
        <v>4116</v>
      </c>
      <c r="C520" s="42" t="s">
        <v>96</v>
      </c>
      <c r="D520" s="44" t="s">
        <v>7</v>
      </c>
      <c r="E520" s="44">
        <v>1</v>
      </c>
    </row>
    <row r="521" spans="1:5">
      <c r="A521" s="43" t="s">
        <v>3538</v>
      </c>
      <c r="B521" s="43" t="s">
        <v>4117</v>
      </c>
      <c r="C521" s="42" t="s">
        <v>96</v>
      </c>
      <c r="D521" s="44" t="s">
        <v>7</v>
      </c>
      <c r="E521" s="44">
        <v>1</v>
      </c>
    </row>
    <row r="522" spans="1:5">
      <c r="A522" s="43" t="s">
        <v>3538</v>
      </c>
      <c r="B522" s="43" t="s">
        <v>4118</v>
      </c>
      <c r="C522" s="42" t="s">
        <v>96</v>
      </c>
      <c r="D522" s="44" t="s">
        <v>7</v>
      </c>
      <c r="E522" s="44">
        <v>1</v>
      </c>
    </row>
    <row r="523" spans="1:5">
      <c r="A523" s="43" t="s">
        <v>3538</v>
      </c>
      <c r="B523" s="43" t="s">
        <v>4119</v>
      </c>
      <c r="C523" s="42" t="s">
        <v>96</v>
      </c>
      <c r="D523" s="44" t="s">
        <v>7</v>
      </c>
      <c r="E523" s="44">
        <v>1</v>
      </c>
    </row>
    <row r="524" spans="1:5">
      <c r="A524" s="43" t="s">
        <v>3538</v>
      </c>
      <c r="B524" s="43" t="s">
        <v>4120</v>
      </c>
      <c r="C524" s="42" t="s">
        <v>96</v>
      </c>
      <c r="D524" s="44" t="s">
        <v>7</v>
      </c>
      <c r="E524" s="44">
        <v>1</v>
      </c>
    </row>
    <row r="525" spans="1:5">
      <c r="A525" s="43" t="s">
        <v>3538</v>
      </c>
      <c r="B525" s="43" t="s">
        <v>4121</v>
      </c>
      <c r="C525" s="42" t="s">
        <v>96</v>
      </c>
      <c r="D525" s="44" t="s">
        <v>7</v>
      </c>
      <c r="E525" s="44">
        <v>1</v>
      </c>
    </row>
    <row r="526" spans="1:5">
      <c r="A526" s="43" t="s">
        <v>3538</v>
      </c>
      <c r="B526" s="43" t="s">
        <v>4122</v>
      </c>
      <c r="C526" s="42" t="s">
        <v>96</v>
      </c>
      <c r="D526" s="44" t="s">
        <v>7</v>
      </c>
      <c r="E526" s="44">
        <v>1</v>
      </c>
    </row>
    <row r="527" spans="1:5">
      <c r="A527" s="43" t="s">
        <v>3538</v>
      </c>
      <c r="B527" s="43" t="s">
        <v>4123</v>
      </c>
      <c r="C527" s="42" t="s">
        <v>96</v>
      </c>
      <c r="D527" s="44" t="s">
        <v>7</v>
      </c>
      <c r="E527" s="44">
        <v>1</v>
      </c>
    </row>
    <row r="528" spans="1:5">
      <c r="A528" s="43" t="s">
        <v>3538</v>
      </c>
      <c r="B528" s="43" t="s">
        <v>4124</v>
      </c>
      <c r="C528" s="42" t="s">
        <v>96</v>
      </c>
      <c r="D528" s="44" t="s">
        <v>7</v>
      </c>
      <c r="E528" s="44">
        <v>1</v>
      </c>
    </row>
    <row r="529" spans="1:5">
      <c r="A529" s="43" t="s">
        <v>3538</v>
      </c>
      <c r="B529" s="43" t="s">
        <v>4125</v>
      </c>
      <c r="C529" s="42" t="s">
        <v>96</v>
      </c>
      <c r="D529" s="44" t="s">
        <v>7</v>
      </c>
      <c r="E529" s="44">
        <v>1</v>
      </c>
    </row>
    <row r="530" spans="1:5">
      <c r="A530" s="43" t="s">
        <v>3538</v>
      </c>
      <c r="B530" s="43" t="s">
        <v>4126</v>
      </c>
      <c r="C530" s="42" t="s">
        <v>96</v>
      </c>
      <c r="D530" s="44" t="s">
        <v>7</v>
      </c>
      <c r="E530" s="44">
        <v>1</v>
      </c>
    </row>
    <row r="531" spans="1:5">
      <c r="A531" s="43" t="s">
        <v>3538</v>
      </c>
      <c r="B531" s="43" t="s">
        <v>4127</v>
      </c>
      <c r="C531" s="42" t="s">
        <v>96</v>
      </c>
      <c r="D531" s="44" t="s">
        <v>7</v>
      </c>
      <c r="E531" s="44">
        <v>1</v>
      </c>
    </row>
    <row r="532" spans="1:5">
      <c r="A532" s="43" t="s">
        <v>3538</v>
      </c>
      <c r="B532" s="43" t="s">
        <v>4128</v>
      </c>
      <c r="C532" s="42" t="s">
        <v>96</v>
      </c>
      <c r="D532" s="44" t="s">
        <v>7</v>
      </c>
      <c r="E532" s="44">
        <v>1</v>
      </c>
    </row>
    <row r="533" spans="1:5">
      <c r="A533" s="43" t="s">
        <v>3538</v>
      </c>
      <c r="B533" s="43" t="s">
        <v>4129</v>
      </c>
      <c r="C533" s="42" t="s">
        <v>96</v>
      </c>
      <c r="D533" s="44" t="s">
        <v>7</v>
      </c>
      <c r="E533" s="44">
        <v>1</v>
      </c>
    </row>
    <row r="534" spans="1:5">
      <c r="A534" s="43" t="s">
        <v>3538</v>
      </c>
      <c r="B534" s="43" t="s">
        <v>4130</v>
      </c>
      <c r="C534" s="42" t="s">
        <v>96</v>
      </c>
      <c r="D534" s="44" t="s">
        <v>7</v>
      </c>
      <c r="E534" s="44">
        <v>1</v>
      </c>
    </row>
    <row r="535" spans="1:5">
      <c r="A535" s="43" t="s">
        <v>3538</v>
      </c>
      <c r="B535" s="43" t="s">
        <v>4131</v>
      </c>
      <c r="C535" s="42" t="s">
        <v>96</v>
      </c>
      <c r="D535" s="44" t="s">
        <v>7</v>
      </c>
      <c r="E535" s="44">
        <v>1</v>
      </c>
    </row>
    <row r="536" spans="1:5">
      <c r="A536" s="43" t="s">
        <v>3538</v>
      </c>
      <c r="B536" s="43" t="s">
        <v>4132</v>
      </c>
      <c r="C536" s="42" t="s">
        <v>96</v>
      </c>
      <c r="D536" s="44" t="s">
        <v>7</v>
      </c>
      <c r="E536" s="44">
        <v>1</v>
      </c>
    </row>
    <row r="537" spans="1:5">
      <c r="A537" s="43" t="s">
        <v>3538</v>
      </c>
      <c r="B537" s="43" t="s">
        <v>4133</v>
      </c>
      <c r="C537" s="42" t="s">
        <v>96</v>
      </c>
      <c r="D537" s="44" t="s">
        <v>7</v>
      </c>
      <c r="E537" s="44">
        <v>1</v>
      </c>
    </row>
    <row r="538" spans="1:5">
      <c r="A538" s="43" t="s">
        <v>3538</v>
      </c>
      <c r="B538" s="43" t="s">
        <v>4134</v>
      </c>
      <c r="C538" s="42" t="s">
        <v>96</v>
      </c>
      <c r="D538" s="44" t="s">
        <v>7</v>
      </c>
      <c r="E538" s="44">
        <v>1</v>
      </c>
    </row>
    <row r="539" spans="1:5">
      <c r="A539" s="43" t="s">
        <v>3538</v>
      </c>
      <c r="B539" s="43" t="s">
        <v>4135</v>
      </c>
      <c r="C539" s="42" t="s">
        <v>96</v>
      </c>
      <c r="D539" s="44" t="s">
        <v>7</v>
      </c>
      <c r="E539" s="44">
        <v>1</v>
      </c>
    </row>
    <row r="540" spans="1:5">
      <c r="A540" s="43" t="s">
        <v>3538</v>
      </c>
      <c r="B540" s="43" t="s">
        <v>4136</v>
      </c>
      <c r="C540" s="42" t="s">
        <v>96</v>
      </c>
      <c r="D540" s="44" t="s">
        <v>7</v>
      </c>
      <c r="E540" s="44">
        <v>1</v>
      </c>
    </row>
    <row r="541" spans="1:5">
      <c r="A541" s="43" t="s">
        <v>3538</v>
      </c>
      <c r="B541" s="43" t="s">
        <v>4137</v>
      </c>
      <c r="C541" s="42" t="s">
        <v>96</v>
      </c>
      <c r="D541" s="44" t="s">
        <v>7</v>
      </c>
      <c r="E541" s="44">
        <v>1</v>
      </c>
    </row>
    <row r="542" spans="1:5">
      <c r="A542" s="43" t="s">
        <v>3538</v>
      </c>
      <c r="B542" s="43" t="s">
        <v>4138</v>
      </c>
      <c r="C542" s="42" t="s">
        <v>96</v>
      </c>
      <c r="D542" s="44" t="s">
        <v>7</v>
      </c>
      <c r="E542" s="44">
        <v>1</v>
      </c>
    </row>
    <row r="543" spans="1:5">
      <c r="A543" s="43" t="s">
        <v>3538</v>
      </c>
      <c r="B543" s="43" t="s">
        <v>4139</v>
      </c>
      <c r="C543" s="42" t="s">
        <v>96</v>
      </c>
      <c r="D543" s="44" t="s">
        <v>7</v>
      </c>
      <c r="E543" s="44">
        <v>1</v>
      </c>
    </row>
    <row r="544" spans="1:5">
      <c r="A544" s="43" t="s">
        <v>3538</v>
      </c>
      <c r="B544" s="43" t="s">
        <v>4140</v>
      </c>
      <c r="C544" s="42" t="s">
        <v>96</v>
      </c>
      <c r="D544" s="44" t="s">
        <v>7</v>
      </c>
      <c r="E544" s="44">
        <v>1</v>
      </c>
    </row>
    <row r="545" spans="1:5">
      <c r="A545" s="43" t="s">
        <v>3538</v>
      </c>
      <c r="B545" s="43" t="s">
        <v>4141</v>
      </c>
      <c r="C545" s="42" t="s">
        <v>96</v>
      </c>
      <c r="D545" s="44" t="s">
        <v>7</v>
      </c>
      <c r="E545" s="44">
        <v>1</v>
      </c>
    </row>
    <row r="546" spans="1:5">
      <c r="A546" s="43" t="s">
        <v>3538</v>
      </c>
      <c r="B546" s="43" t="s">
        <v>4142</v>
      </c>
      <c r="C546" s="42" t="s">
        <v>96</v>
      </c>
      <c r="D546" s="44" t="s">
        <v>7</v>
      </c>
      <c r="E546" s="44">
        <v>1</v>
      </c>
    </row>
    <row r="547" spans="1:5">
      <c r="A547" s="43" t="s">
        <v>3538</v>
      </c>
      <c r="B547" s="43" t="s">
        <v>4143</v>
      </c>
      <c r="C547" s="42" t="s">
        <v>96</v>
      </c>
      <c r="D547" s="44" t="s">
        <v>7</v>
      </c>
      <c r="E547" s="44">
        <v>1</v>
      </c>
    </row>
    <row r="548" spans="1:5">
      <c r="A548" s="43" t="s">
        <v>3538</v>
      </c>
      <c r="B548" s="43" t="s">
        <v>4144</v>
      </c>
      <c r="C548" s="42" t="s">
        <v>94</v>
      </c>
      <c r="D548" s="44" t="s">
        <v>7</v>
      </c>
      <c r="E548" s="44">
        <v>1</v>
      </c>
    </row>
    <row r="549" spans="1:5">
      <c r="A549" s="43" t="s">
        <v>3538</v>
      </c>
      <c r="B549" s="43" t="s">
        <v>4145</v>
      </c>
      <c r="C549" s="42" t="s">
        <v>4030</v>
      </c>
      <c r="D549" s="44" t="s">
        <v>7</v>
      </c>
      <c r="E549" s="44">
        <v>1</v>
      </c>
    </row>
    <row r="550" spans="1:5">
      <c r="A550" s="43" t="s">
        <v>3538</v>
      </c>
      <c r="B550" s="43" t="s">
        <v>4146</v>
      </c>
      <c r="C550" s="42" t="s">
        <v>3212</v>
      </c>
      <c r="D550" s="44" t="s">
        <v>7</v>
      </c>
      <c r="E550" s="44">
        <v>1</v>
      </c>
    </row>
    <row r="551" spans="1:5">
      <c r="A551" s="43" t="s">
        <v>3538</v>
      </c>
      <c r="B551" s="43" t="s">
        <v>4147</v>
      </c>
      <c r="C551" s="42" t="s">
        <v>2478</v>
      </c>
      <c r="D551" s="44" t="s">
        <v>7</v>
      </c>
      <c r="E551" s="44">
        <v>1</v>
      </c>
    </row>
    <row r="552" spans="1:5">
      <c r="A552" s="43" t="s">
        <v>3538</v>
      </c>
      <c r="B552" s="43" t="s">
        <v>4148</v>
      </c>
      <c r="C552" s="42" t="s">
        <v>1148</v>
      </c>
      <c r="D552" s="44" t="s">
        <v>7</v>
      </c>
      <c r="E552" s="44">
        <v>1</v>
      </c>
    </row>
    <row r="553" spans="1:5">
      <c r="A553" s="43" t="s">
        <v>3538</v>
      </c>
      <c r="B553" s="43" t="s">
        <v>4149</v>
      </c>
      <c r="C553" s="42" t="s">
        <v>1611</v>
      </c>
      <c r="D553" s="44" t="s">
        <v>7</v>
      </c>
      <c r="E553" s="44">
        <v>1</v>
      </c>
    </row>
    <row r="554" spans="1:5">
      <c r="A554" s="43" t="s">
        <v>3538</v>
      </c>
      <c r="B554" s="43" t="s">
        <v>4150</v>
      </c>
      <c r="C554" s="42" t="s">
        <v>1143</v>
      </c>
      <c r="D554" s="44" t="s">
        <v>7</v>
      </c>
      <c r="E554" s="44">
        <v>1</v>
      </c>
    </row>
    <row r="555" spans="1:5">
      <c r="A555" s="43" t="s">
        <v>3538</v>
      </c>
      <c r="B555" s="43" t="s">
        <v>4151</v>
      </c>
      <c r="C555" s="42" t="s">
        <v>4152</v>
      </c>
      <c r="D555" s="44" t="s">
        <v>7</v>
      </c>
      <c r="E555" s="44">
        <v>1</v>
      </c>
    </row>
    <row r="556" spans="1:5">
      <c r="A556" s="43" t="s">
        <v>3538</v>
      </c>
      <c r="B556" s="43" t="s">
        <v>4153</v>
      </c>
      <c r="C556" s="42" t="s">
        <v>49</v>
      </c>
      <c r="D556" s="44" t="s">
        <v>7</v>
      </c>
      <c r="E556" s="44">
        <v>1</v>
      </c>
    </row>
    <row r="557" spans="1:5">
      <c r="A557" s="43" t="s">
        <v>3538</v>
      </c>
      <c r="B557" s="43" t="s">
        <v>4154</v>
      </c>
      <c r="C557" s="42" t="s">
        <v>95</v>
      </c>
      <c r="D557" s="44" t="s">
        <v>7</v>
      </c>
      <c r="E557" s="44">
        <v>1</v>
      </c>
    </row>
    <row r="558" spans="1:5">
      <c r="A558" s="43" t="s">
        <v>3538</v>
      </c>
      <c r="B558" s="43">
        <v>20150002</v>
      </c>
      <c r="C558" s="42" t="s">
        <v>903</v>
      </c>
      <c r="D558" s="44" t="s">
        <v>7</v>
      </c>
      <c r="E558" s="44">
        <v>1</v>
      </c>
    </row>
    <row r="559" spans="1:5">
      <c r="A559" s="43" t="s">
        <v>3538</v>
      </c>
      <c r="B559" s="43" t="s">
        <v>4155</v>
      </c>
      <c r="C559" s="42" t="s">
        <v>362</v>
      </c>
      <c r="D559" s="44" t="s">
        <v>7</v>
      </c>
      <c r="E559" s="44">
        <v>1</v>
      </c>
    </row>
    <row r="560" spans="1:5">
      <c r="A560" s="43" t="s">
        <v>3538</v>
      </c>
      <c r="B560" s="43" t="s">
        <v>4156</v>
      </c>
      <c r="C560" s="42" t="s">
        <v>367</v>
      </c>
      <c r="D560" s="44" t="s">
        <v>7</v>
      </c>
      <c r="E560" s="44">
        <v>1</v>
      </c>
    </row>
    <row r="561" spans="1:5">
      <c r="A561" s="43" t="s">
        <v>3538</v>
      </c>
      <c r="B561" s="43" t="s">
        <v>4157</v>
      </c>
      <c r="C561" s="42" t="s">
        <v>96</v>
      </c>
      <c r="D561" s="44" t="s">
        <v>7</v>
      </c>
      <c r="E561" s="44">
        <v>1</v>
      </c>
    </row>
    <row r="562" spans="1:5">
      <c r="A562" s="43" t="s">
        <v>3538</v>
      </c>
      <c r="B562" s="43" t="s">
        <v>4158</v>
      </c>
      <c r="C562" s="42" t="s">
        <v>4090</v>
      </c>
      <c r="D562" s="44" t="s">
        <v>7</v>
      </c>
      <c r="E562" s="44">
        <v>1</v>
      </c>
    </row>
    <row r="563" spans="1:5">
      <c r="A563" s="43" t="s">
        <v>3538</v>
      </c>
      <c r="B563" s="43" t="s">
        <v>4159</v>
      </c>
      <c r="C563" s="42" t="s">
        <v>4090</v>
      </c>
      <c r="D563" s="44" t="s">
        <v>7</v>
      </c>
      <c r="E563" s="44">
        <v>1</v>
      </c>
    </row>
    <row r="564" spans="1:5">
      <c r="A564" s="43" t="s">
        <v>3538</v>
      </c>
      <c r="B564" s="43" t="s">
        <v>4160</v>
      </c>
      <c r="C564" s="42" t="s">
        <v>4090</v>
      </c>
      <c r="D564" s="44" t="s">
        <v>7</v>
      </c>
      <c r="E564" s="44">
        <v>1</v>
      </c>
    </row>
    <row r="565" spans="1:5">
      <c r="A565" s="43" t="s">
        <v>3538</v>
      </c>
      <c r="B565" s="43">
        <v>20180600</v>
      </c>
      <c r="C565" s="42" t="s">
        <v>96</v>
      </c>
      <c r="D565" s="44" t="s">
        <v>7</v>
      </c>
      <c r="E565" s="44">
        <v>1</v>
      </c>
    </row>
    <row r="566" spans="1:5">
      <c r="A566" s="43" t="s">
        <v>3538</v>
      </c>
      <c r="B566" s="43" t="s">
        <v>4161</v>
      </c>
      <c r="C566" s="42" t="s">
        <v>94</v>
      </c>
      <c r="D566" s="44" t="s">
        <v>7</v>
      </c>
      <c r="E566" s="44">
        <v>1</v>
      </c>
    </row>
    <row r="567" spans="1:5">
      <c r="A567" s="43" t="s">
        <v>3538</v>
      </c>
      <c r="B567" s="43" t="s">
        <v>4162</v>
      </c>
      <c r="C567" s="42" t="s">
        <v>3212</v>
      </c>
      <c r="D567" s="44" t="s">
        <v>7</v>
      </c>
      <c r="E567" s="44">
        <v>1</v>
      </c>
    </row>
    <row r="568" spans="1:5">
      <c r="A568" s="43" t="s">
        <v>3538</v>
      </c>
      <c r="B568" s="43" t="s">
        <v>4163</v>
      </c>
      <c r="C568" s="42" t="s">
        <v>2478</v>
      </c>
      <c r="D568" s="44" t="s">
        <v>7</v>
      </c>
      <c r="E568" s="44">
        <v>1</v>
      </c>
    </row>
    <row r="569" spans="1:5">
      <c r="A569" s="43" t="s">
        <v>3538</v>
      </c>
      <c r="B569" s="43" t="s">
        <v>4164</v>
      </c>
      <c r="C569" s="42" t="s">
        <v>1148</v>
      </c>
      <c r="D569" s="44" t="s">
        <v>7</v>
      </c>
      <c r="E569" s="44">
        <v>1</v>
      </c>
    </row>
    <row r="570" spans="1:5">
      <c r="A570" s="43" t="s">
        <v>3538</v>
      </c>
      <c r="B570" s="43" t="s">
        <v>4165</v>
      </c>
      <c r="C570" s="42" t="s">
        <v>1611</v>
      </c>
      <c r="D570" s="44" t="s">
        <v>7</v>
      </c>
      <c r="E570" s="44">
        <v>1</v>
      </c>
    </row>
    <row r="571" spans="1:5">
      <c r="A571" s="43" t="s">
        <v>3538</v>
      </c>
      <c r="B571" s="43" t="s">
        <v>4166</v>
      </c>
      <c r="C571" s="42" t="s">
        <v>1143</v>
      </c>
      <c r="D571" s="44" t="s">
        <v>7</v>
      </c>
      <c r="E571" s="44">
        <v>1</v>
      </c>
    </row>
    <row r="572" spans="1:5">
      <c r="A572" s="43" t="s">
        <v>3538</v>
      </c>
      <c r="B572" s="43" t="s">
        <v>4167</v>
      </c>
      <c r="C572" s="42" t="s">
        <v>4152</v>
      </c>
      <c r="D572" s="44" t="s">
        <v>7</v>
      </c>
      <c r="E572" s="44">
        <v>1</v>
      </c>
    </row>
    <row r="573" spans="1:5">
      <c r="A573" s="43" t="s">
        <v>3538</v>
      </c>
      <c r="B573" s="43" t="s">
        <v>4168</v>
      </c>
      <c r="C573" s="42" t="s">
        <v>49</v>
      </c>
      <c r="D573" s="44" t="s">
        <v>7</v>
      </c>
      <c r="E573" s="44">
        <v>1</v>
      </c>
    </row>
    <row r="574" spans="1:5">
      <c r="A574" s="43" t="s">
        <v>3538</v>
      </c>
      <c r="B574" s="43">
        <v>20140789</v>
      </c>
      <c r="C574" s="42" t="s">
        <v>4169</v>
      </c>
      <c r="D574" s="44" t="s">
        <v>7</v>
      </c>
      <c r="E574" s="44">
        <v>1</v>
      </c>
    </row>
    <row r="575" spans="1:5">
      <c r="A575" s="43" t="s">
        <v>3538</v>
      </c>
      <c r="B575" s="43">
        <v>20140918</v>
      </c>
      <c r="C575" s="42" t="s">
        <v>4169</v>
      </c>
      <c r="D575" s="44" t="s">
        <v>7</v>
      </c>
      <c r="E575" s="44">
        <v>1</v>
      </c>
    </row>
    <row r="576" spans="1:5">
      <c r="A576" s="43" t="s">
        <v>3538</v>
      </c>
      <c r="B576" s="43" t="s">
        <v>4170</v>
      </c>
      <c r="C576" s="42" t="s">
        <v>96</v>
      </c>
      <c r="D576" s="44" t="s">
        <v>7</v>
      </c>
      <c r="E576" s="44">
        <v>1</v>
      </c>
    </row>
    <row r="577" spans="1:5">
      <c r="A577" s="43" t="s">
        <v>3538</v>
      </c>
      <c r="B577" s="43" t="s">
        <v>4171</v>
      </c>
      <c r="C577" s="42" t="s">
        <v>96</v>
      </c>
      <c r="D577" s="44" t="s">
        <v>7</v>
      </c>
      <c r="E577" s="44">
        <v>1</v>
      </c>
    </row>
    <row r="578" spans="1:5">
      <c r="A578" s="43" t="s">
        <v>3538</v>
      </c>
      <c r="B578" s="43" t="s">
        <v>4172</v>
      </c>
      <c r="C578" s="42" t="s">
        <v>96</v>
      </c>
      <c r="D578" s="44" t="s">
        <v>7</v>
      </c>
      <c r="E578" s="44">
        <v>1</v>
      </c>
    </row>
    <row r="579" spans="1:5">
      <c r="A579" s="43" t="s">
        <v>3538</v>
      </c>
      <c r="B579" s="43" t="s">
        <v>4173</v>
      </c>
      <c r="C579" s="42" t="s">
        <v>96</v>
      </c>
      <c r="D579" s="44" t="s">
        <v>7</v>
      </c>
      <c r="E579" s="44">
        <v>1</v>
      </c>
    </row>
    <row r="580" spans="1:5">
      <c r="A580" s="43" t="s">
        <v>3538</v>
      </c>
      <c r="B580" s="43" t="s">
        <v>4174</v>
      </c>
      <c r="C580" s="42" t="s">
        <v>96</v>
      </c>
      <c r="D580" s="44" t="s">
        <v>7</v>
      </c>
      <c r="E580" s="44">
        <v>1</v>
      </c>
    </row>
    <row r="581" spans="1:5">
      <c r="A581" s="43" t="s">
        <v>3538</v>
      </c>
      <c r="B581" s="43" t="s">
        <v>4175</v>
      </c>
      <c r="C581" s="42" t="s">
        <v>96</v>
      </c>
      <c r="D581" s="44" t="s">
        <v>7</v>
      </c>
      <c r="E581" s="44">
        <v>1</v>
      </c>
    </row>
    <row r="582" spans="1:5">
      <c r="A582" s="43" t="s">
        <v>3538</v>
      </c>
      <c r="B582" s="43" t="s">
        <v>4176</v>
      </c>
      <c r="C582" s="42" t="s">
        <v>96</v>
      </c>
      <c r="D582" s="44" t="s">
        <v>7</v>
      </c>
      <c r="E582" s="44">
        <v>1</v>
      </c>
    </row>
    <row r="583" spans="1:5">
      <c r="A583" s="43" t="s">
        <v>3538</v>
      </c>
      <c r="B583" s="43" t="s">
        <v>4177</v>
      </c>
      <c r="C583" s="42" t="s">
        <v>96</v>
      </c>
      <c r="D583" s="44" t="s">
        <v>7</v>
      </c>
      <c r="E583" s="44">
        <v>1</v>
      </c>
    </row>
    <row r="584" spans="1:5">
      <c r="A584" s="43" t="s">
        <v>3538</v>
      </c>
      <c r="B584" s="43" t="s">
        <v>4178</v>
      </c>
      <c r="C584" s="42" t="s">
        <v>96</v>
      </c>
      <c r="D584" s="44" t="s">
        <v>7</v>
      </c>
      <c r="E584" s="44">
        <v>1</v>
      </c>
    </row>
    <row r="585" spans="1:5">
      <c r="A585" s="43" t="s">
        <v>3538</v>
      </c>
      <c r="B585" s="43" t="s">
        <v>4179</v>
      </c>
      <c r="C585" s="42" t="s">
        <v>96</v>
      </c>
      <c r="D585" s="44" t="s">
        <v>7</v>
      </c>
      <c r="E585" s="44">
        <v>1</v>
      </c>
    </row>
    <row r="586" spans="1:5">
      <c r="A586" s="43" t="s">
        <v>3538</v>
      </c>
      <c r="B586" s="43" t="s">
        <v>4180</v>
      </c>
      <c r="C586" s="42" t="s">
        <v>96</v>
      </c>
      <c r="D586" s="44" t="s">
        <v>7</v>
      </c>
      <c r="E586" s="44">
        <v>1</v>
      </c>
    </row>
    <row r="587" spans="1:5">
      <c r="A587" s="43" t="s">
        <v>3538</v>
      </c>
      <c r="B587" s="43" t="s">
        <v>4181</v>
      </c>
      <c r="C587" s="42" t="s">
        <v>96</v>
      </c>
      <c r="D587" s="44" t="s">
        <v>7</v>
      </c>
      <c r="E587" s="44">
        <v>1</v>
      </c>
    </row>
    <row r="588" spans="1:5">
      <c r="A588" s="43" t="s">
        <v>3538</v>
      </c>
      <c r="B588" s="43" t="s">
        <v>4182</v>
      </c>
      <c r="C588" s="42" t="s">
        <v>96</v>
      </c>
      <c r="D588" s="44" t="s">
        <v>7</v>
      </c>
      <c r="E588" s="44">
        <v>1</v>
      </c>
    </row>
    <row r="589" spans="1:5">
      <c r="A589" s="43" t="s">
        <v>3538</v>
      </c>
      <c r="B589" s="43" t="s">
        <v>4183</v>
      </c>
      <c r="C589" s="42" t="s">
        <v>96</v>
      </c>
      <c r="D589" s="44" t="s">
        <v>7</v>
      </c>
      <c r="E589" s="44">
        <v>1</v>
      </c>
    </row>
    <row r="590" spans="1:5">
      <c r="A590" s="43" t="s">
        <v>3538</v>
      </c>
      <c r="B590" s="43" t="s">
        <v>4184</v>
      </c>
      <c r="C590" s="42" t="s">
        <v>96</v>
      </c>
      <c r="D590" s="44" t="s">
        <v>7</v>
      </c>
      <c r="E590" s="44">
        <v>1</v>
      </c>
    </row>
    <row r="591" spans="1:5">
      <c r="A591" s="43" t="s">
        <v>3538</v>
      </c>
      <c r="B591" s="43" t="s">
        <v>4185</v>
      </c>
      <c r="C591" s="42" t="s">
        <v>96</v>
      </c>
      <c r="D591" s="44" t="s">
        <v>7</v>
      </c>
      <c r="E591" s="44">
        <v>1</v>
      </c>
    </row>
    <row r="592" spans="1:5">
      <c r="A592" s="43" t="s">
        <v>3538</v>
      </c>
      <c r="B592" s="43" t="s">
        <v>4186</v>
      </c>
      <c r="C592" s="42" t="s">
        <v>96</v>
      </c>
      <c r="D592" s="44" t="s">
        <v>7</v>
      </c>
      <c r="E592" s="44">
        <v>1</v>
      </c>
    </row>
    <row r="593" spans="1:5">
      <c r="A593" s="43" t="s">
        <v>3538</v>
      </c>
      <c r="B593" s="43" t="s">
        <v>4187</v>
      </c>
      <c r="C593" s="42" t="s">
        <v>96</v>
      </c>
      <c r="D593" s="44" t="s">
        <v>7</v>
      </c>
      <c r="E593" s="44">
        <v>1</v>
      </c>
    </row>
    <row r="594" spans="1:5">
      <c r="A594" s="43" t="s">
        <v>3538</v>
      </c>
      <c r="B594" s="43" t="s">
        <v>4188</v>
      </c>
      <c r="C594" s="42" t="s">
        <v>96</v>
      </c>
      <c r="D594" s="44" t="s">
        <v>7</v>
      </c>
      <c r="E594" s="44">
        <v>1</v>
      </c>
    </row>
    <row r="595" spans="1:5">
      <c r="A595" s="43" t="s">
        <v>3538</v>
      </c>
      <c r="B595" s="43" t="s">
        <v>4189</v>
      </c>
      <c r="C595" s="42" t="s">
        <v>96</v>
      </c>
      <c r="D595" s="44" t="s">
        <v>7</v>
      </c>
      <c r="E595" s="44">
        <v>1</v>
      </c>
    </row>
    <row r="596" spans="1:5">
      <c r="A596" s="43" t="s">
        <v>3538</v>
      </c>
      <c r="B596" s="43" t="s">
        <v>4190</v>
      </c>
      <c r="C596" s="42" t="s">
        <v>96</v>
      </c>
      <c r="D596" s="44" t="s">
        <v>7</v>
      </c>
      <c r="E596" s="44">
        <v>1</v>
      </c>
    </row>
    <row r="597" spans="1:5">
      <c r="A597" s="43" t="s">
        <v>3538</v>
      </c>
      <c r="B597" s="43" t="s">
        <v>4191</v>
      </c>
      <c r="C597" s="42" t="s">
        <v>96</v>
      </c>
      <c r="D597" s="44" t="s">
        <v>7</v>
      </c>
      <c r="E597" s="44">
        <v>1</v>
      </c>
    </row>
    <row r="598" spans="1:5">
      <c r="A598" s="43" t="s">
        <v>3538</v>
      </c>
      <c r="B598" s="43" t="s">
        <v>4192</v>
      </c>
      <c r="C598" s="42" t="s">
        <v>96</v>
      </c>
      <c r="D598" s="44" t="s">
        <v>7</v>
      </c>
      <c r="E598" s="44">
        <v>1</v>
      </c>
    </row>
    <row r="599" spans="1:5">
      <c r="A599" s="43" t="s">
        <v>3538</v>
      </c>
      <c r="B599" s="43" t="s">
        <v>4193</v>
      </c>
      <c r="C599" s="42" t="s">
        <v>96</v>
      </c>
      <c r="D599" s="44" t="s">
        <v>7</v>
      </c>
      <c r="E599" s="44">
        <v>1</v>
      </c>
    </row>
    <row r="600" spans="1:5">
      <c r="A600" s="43" t="s">
        <v>3538</v>
      </c>
      <c r="B600" s="43" t="s">
        <v>4194</v>
      </c>
      <c r="C600" s="42" t="s">
        <v>96</v>
      </c>
      <c r="D600" s="44" t="s">
        <v>7</v>
      </c>
      <c r="E600" s="44">
        <v>1</v>
      </c>
    </row>
    <row r="601" spans="1:5">
      <c r="A601" s="43" t="s">
        <v>3538</v>
      </c>
      <c r="B601" s="43" t="s">
        <v>4195</v>
      </c>
      <c r="C601" s="42" t="s">
        <v>96</v>
      </c>
      <c r="D601" s="44" t="s">
        <v>7</v>
      </c>
      <c r="E601" s="44">
        <v>1</v>
      </c>
    </row>
    <row r="602" spans="1:5">
      <c r="A602" s="43" t="s">
        <v>3538</v>
      </c>
      <c r="B602" s="43" t="s">
        <v>4196</v>
      </c>
      <c r="C602" s="42" t="s">
        <v>96</v>
      </c>
      <c r="D602" s="44" t="s">
        <v>7</v>
      </c>
      <c r="E602" s="44">
        <v>1</v>
      </c>
    </row>
    <row r="603" spans="1:5">
      <c r="A603" s="43" t="s">
        <v>3538</v>
      </c>
      <c r="B603" s="43" t="s">
        <v>4197</v>
      </c>
      <c r="C603" s="42" t="s">
        <v>96</v>
      </c>
      <c r="D603" s="44" t="s">
        <v>7</v>
      </c>
      <c r="E603" s="44">
        <v>1</v>
      </c>
    </row>
    <row r="604" spans="1:5">
      <c r="A604" s="43" t="s">
        <v>3538</v>
      </c>
      <c r="B604" s="43" t="s">
        <v>4198</v>
      </c>
      <c r="C604" s="42" t="s">
        <v>96</v>
      </c>
      <c r="D604" s="44" t="s">
        <v>7</v>
      </c>
      <c r="E604" s="44">
        <v>1</v>
      </c>
    </row>
    <row r="605" spans="1:5">
      <c r="A605" s="43" t="s">
        <v>3538</v>
      </c>
      <c r="B605" s="43" t="s">
        <v>4199</v>
      </c>
      <c r="C605" s="42" t="s">
        <v>96</v>
      </c>
      <c r="D605" s="44" t="s">
        <v>7</v>
      </c>
      <c r="E605" s="44">
        <v>1</v>
      </c>
    </row>
    <row r="606" spans="1:5">
      <c r="A606" s="43" t="s">
        <v>3538</v>
      </c>
      <c r="B606" s="43" t="s">
        <v>4200</v>
      </c>
      <c r="C606" s="42" t="s">
        <v>96</v>
      </c>
      <c r="D606" s="44" t="s">
        <v>7</v>
      </c>
      <c r="E606" s="44">
        <v>1</v>
      </c>
    </row>
    <row r="607" spans="1:5">
      <c r="A607" s="43" t="s">
        <v>3538</v>
      </c>
      <c r="B607" s="43" t="s">
        <v>4201</v>
      </c>
      <c r="C607" s="42" t="s">
        <v>96</v>
      </c>
      <c r="D607" s="44" t="s">
        <v>7</v>
      </c>
      <c r="E607" s="44">
        <v>1</v>
      </c>
    </row>
    <row r="608" spans="1:5">
      <c r="A608" s="43" t="s">
        <v>3538</v>
      </c>
      <c r="B608" s="43" t="s">
        <v>4202</v>
      </c>
      <c r="C608" s="42" t="s">
        <v>96</v>
      </c>
      <c r="D608" s="44" t="s">
        <v>7</v>
      </c>
      <c r="E608" s="44">
        <v>1</v>
      </c>
    </row>
    <row r="609" spans="1:5">
      <c r="A609" s="43" t="s">
        <v>3538</v>
      </c>
      <c r="B609" s="43" t="s">
        <v>4203</v>
      </c>
      <c r="C609" s="42" t="s">
        <v>96</v>
      </c>
      <c r="D609" s="44" t="s">
        <v>7</v>
      </c>
      <c r="E609" s="44">
        <v>1</v>
      </c>
    </row>
    <row r="610" spans="1:5">
      <c r="A610" s="43" t="s">
        <v>3538</v>
      </c>
      <c r="B610" s="43" t="s">
        <v>4204</v>
      </c>
      <c r="C610" s="42" t="s">
        <v>96</v>
      </c>
      <c r="D610" s="44" t="s">
        <v>7</v>
      </c>
      <c r="E610" s="44">
        <v>1</v>
      </c>
    </row>
    <row r="611" spans="1:5">
      <c r="A611" s="43" t="s">
        <v>3538</v>
      </c>
      <c r="B611" s="43" t="s">
        <v>4205</v>
      </c>
      <c r="C611" s="42" t="s">
        <v>96</v>
      </c>
      <c r="D611" s="44" t="s">
        <v>7</v>
      </c>
      <c r="E611" s="44">
        <v>1</v>
      </c>
    </row>
    <row r="612" spans="1:5">
      <c r="A612" s="43" t="s">
        <v>3538</v>
      </c>
      <c r="B612" s="43" t="s">
        <v>4206</v>
      </c>
      <c r="C612" s="42" t="s">
        <v>96</v>
      </c>
      <c r="D612" s="44" t="s">
        <v>7</v>
      </c>
      <c r="E612" s="44">
        <v>1</v>
      </c>
    </row>
    <row r="613" spans="1:5">
      <c r="A613" s="43" t="s">
        <v>3538</v>
      </c>
      <c r="B613" s="43" t="s">
        <v>4207</v>
      </c>
      <c r="C613" s="42" t="s">
        <v>96</v>
      </c>
      <c r="D613" s="44" t="s">
        <v>7</v>
      </c>
      <c r="E613" s="44">
        <v>1</v>
      </c>
    </row>
    <row r="614" spans="1:5">
      <c r="A614" s="43" t="s">
        <v>3538</v>
      </c>
      <c r="B614" s="43" t="s">
        <v>4208</v>
      </c>
      <c r="C614" s="42" t="s">
        <v>96</v>
      </c>
      <c r="D614" s="44" t="s">
        <v>7</v>
      </c>
      <c r="E614" s="44">
        <v>1</v>
      </c>
    </row>
    <row r="615" spans="1:5">
      <c r="A615" s="43" t="s">
        <v>3538</v>
      </c>
      <c r="B615" s="43" t="s">
        <v>4209</v>
      </c>
      <c r="C615" s="42" t="s">
        <v>96</v>
      </c>
      <c r="D615" s="44" t="s">
        <v>7</v>
      </c>
      <c r="E615" s="44">
        <v>1</v>
      </c>
    </row>
    <row r="616" spans="1:5">
      <c r="A616" s="43" t="s">
        <v>3538</v>
      </c>
      <c r="B616" s="43" t="s">
        <v>4210</v>
      </c>
      <c r="C616" s="42" t="s">
        <v>96</v>
      </c>
      <c r="D616" s="44" t="s">
        <v>7</v>
      </c>
      <c r="E616" s="44">
        <v>1</v>
      </c>
    </row>
    <row r="617" spans="1:5">
      <c r="A617" s="43" t="s">
        <v>3538</v>
      </c>
      <c r="B617" s="43" t="s">
        <v>4211</v>
      </c>
      <c r="C617" s="42" t="s">
        <v>96</v>
      </c>
      <c r="D617" s="44" t="s">
        <v>7</v>
      </c>
      <c r="E617" s="44">
        <v>1</v>
      </c>
    </row>
    <row r="618" spans="1:5">
      <c r="A618" s="43" t="s">
        <v>3538</v>
      </c>
      <c r="B618" s="43" t="s">
        <v>4212</v>
      </c>
      <c r="C618" s="42" t="s">
        <v>96</v>
      </c>
      <c r="D618" s="44" t="s">
        <v>7</v>
      </c>
      <c r="E618" s="44">
        <v>1</v>
      </c>
    </row>
    <row r="619" spans="1:5">
      <c r="A619" s="43" t="s">
        <v>3538</v>
      </c>
      <c r="B619" s="43" t="s">
        <v>4213</v>
      </c>
      <c r="C619" s="42" t="s">
        <v>96</v>
      </c>
      <c r="D619" s="44" t="s">
        <v>7</v>
      </c>
      <c r="E619" s="44">
        <v>1</v>
      </c>
    </row>
    <row r="620" spans="1:5">
      <c r="A620" s="43" t="s">
        <v>3538</v>
      </c>
      <c r="B620" s="43" t="s">
        <v>4214</v>
      </c>
      <c r="C620" s="42" t="s">
        <v>96</v>
      </c>
      <c r="D620" s="44" t="s">
        <v>7</v>
      </c>
      <c r="E620" s="44">
        <v>1</v>
      </c>
    </row>
    <row r="621" spans="1:5">
      <c r="A621" s="43" t="s">
        <v>3538</v>
      </c>
      <c r="B621" s="43" t="s">
        <v>4215</v>
      </c>
      <c r="C621" s="42" t="s">
        <v>96</v>
      </c>
      <c r="D621" s="44" t="s">
        <v>7</v>
      </c>
      <c r="E621" s="44">
        <v>1</v>
      </c>
    </row>
    <row r="622" spans="1:5">
      <c r="A622" s="43" t="s">
        <v>3538</v>
      </c>
      <c r="B622" s="43" t="s">
        <v>4216</v>
      </c>
      <c r="C622" s="42" t="s">
        <v>96</v>
      </c>
      <c r="D622" s="44" t="s">
        <v>7</v>
      </c>
      <c r="E622" s="44">
        <v>1</v>
      </c>
    </row>
    <row r="623" spans="1:5">
      <c r="A623" s="43" t="s">
        <v>3538</v>
      </c>
      <c r="B623" s="43" t="s">
        <v>4217</v>
      </c>
      <c r="C623" s="42" t="s">
        <v>96</v>
      </c>
      <c r="D623" s="44" t="s">
        <v>7</v>
      </c>
      <c r="E623" s="44">
        <v>1</v>
      </c>
    </row>
    <row r="624" spans="1:5">
      <c r="A624" s="43" t="s">
        <v>3538</v>
      </c>
      <c r="B624" s="43" t="s">
        <v>4218</v>
      </c>
      <c r="C624" s="42" t="s">
        <v>96</v>
      </c>
      <c r="D624" s="44" t="s">
        <v>7</v>
      </c>
      <c r="E624" s="44">
        <v>1</v>
      </c>
    </row>
    <row r="625" spans="1:5">
      <c r="A625" s="43" t="s">
        <v>3538</v>
      </c>
      <c r="B625" s="43" t="s">
        <v>4219</v>
      </c>
      <c r="C625" s="42" t="s">
        <v>96</v>
      </c>
      <c r="D625" s="44" t="s">
        <v>7</v>
      </c>
      <c r="E625" s="44">
        <v>1</v>
      </c>
    </row>
    <row r="626" spans="1:5">
      <c r="A626" s="43" t="s">
        <v>3538</v>
      </c>
      <c r="B626" s="43" t="s">
        <v>4220</v>
      </c>
      <c r="C626" s="42" t="s">
        <v>96</v>
      </c>
      <c r="D626" s="44" t="s">
        <v>7</v>
      </c>
      <c r="E626" s="44">
        <v>1</v>
      </c>
    </row>
    <row r="627" spans="1:5">
      <c r="A627" s="43" t="s">
        <v>3538</v>
      </c>
      <c r="B627" s="43">
        <v>20180652</v>
      </c>
      <c r="C627" s="42" t="s">
        <v>4221</v>
      </c>
      <c r="D627" s="44" t="s">
        <v>7</v>
      </c>
      <c r="E627" s="44">
        <v>1</v>
      </c>
    </row>
    <row r="628" spans="1:5">
      <c r="A628" s="43" t="s">
        <v>3538</v>
      </c>
      <c r="B628" s="43" t="s">
        <v>4222</v>
      </c>
      <c r="C628" s="42" t="s">
        <v>4223</v>
      </c>
      <c r="D628" s="44" t="s">
        <v>7</v>
      </c>
      <c r="E628" s="44">
        <v>1</v>
      </c>
    </row>
    <row r="629" spans="1:5">
      <c r="A629" s="43" t="s">
        <v>3538</v>
      </c>
      <c r="B629" s="43" t="s">
        <v>4224</v>
      </c>
      <c r="C629" s="42" t="s">
        <v>4223</v>
      </c>
      <c r="D629" s="44" t="s">
        <v>7</v>
      </c>
      <c r="E629" s="44">
        <v>1</v>
      </c>
    </row>
    <row r="630" spans="1:5">
      <c r="A630" s="43" t="s">
        <v>3538</v>
      </c>
      <c r="B630" s="43" t="s">
        <v>4225</v>
      </c>
      <c r="C630" s="42" t="s">
        <v>4223</v>
      </c>
      <c r="D630" s="44" t="s">
        <v>7</v>
      </c>
      <c r="E630" s="44">
        <v>1</v>
      </c>
    </row>
    <row r="631" spans="1:5">
      <c r="A631" s="43" t="s">
        <v>3538</v>
      </c>
      <c r="B631" s="43" t="s">
        <v>4226</v>
      </c>
      <c r="C631" s="42" t="s">
        <v>4223</v>
      </c>
      <c r="D631" s="44" t="s">
        <v>7</v>
      </c>
      <c r="E631" s="44">
        <v>1</v>
      </c>
    </row>
    <row r="632" spans="1:5">
      <c r="A632" s="43" t="s">
        <v>3538</v>
      </c>
      <c r="B632" s="43" t="s">
        <v>4227</v>
      </c>
      <c r="C632" s="42" t="s">
        <v>4223</v>
      </c>
      <c r="D632" s="44" t="s">
        <v>7</v>
      </c>
      <c r="E632" s="44">
        <v>1</v>
      </c>
    </row>
    <row r="633" spans="1:5">
      <c r="A633" s="43" t="s">
        <v>3538</v>
      </c>
      <c r="B633" s="43" t="s">
        <v>4228</v>
      </c>
      <c r="C633" s="42" t="s">
        <v>4223</v>
      </c>
      <c r="D633" s="44" t="s">
        <v>7</v>
      </c>
      <c r="E633" s="44">
        <v>1</v>
      </c>
    </row>
    <row r="634" spans="1:5">
      <c r="A634" s="43" t="s">
        <v>3538</v>
      </c>
      <c r="B634" s="43" t="s">
        <v>4229</v>
      </c>
      <c r="C634" s="42" t="s">
        <v>4223</v>
      </c>
      <c r="D634" s="44" t="s">
        <v>7</v>
      </c>
      <c r="E634" s="44">
        <v>1</v>
      </c>
    </row>
    <row r="635" spans="1:5">
      <c r="A635" s="43" t="s">
        <v>3538</v>
      </c>
      <c r="B635" s="43" t="s">
        <v>4230</v>
      </c>
      <c r="C635" s="42" t="s">
        <v>4223</v>
      </c>
      <c r="D635" s="44" t="s">
        <v>7</v>
      </c>
      <c r="E635" s="44">
        <v>1</v>
      </c>
    </row>
    <row r="636" spans="1:5">
      <c r="A636" s="43" t="s">
        <v>3538</v>
      </c>
      <c r="B636" s="43" t="s">
        <v>4231</v>
      </c>
      <c r="C636" s="42" t="s">
        <v>367</v>
      </c>
      <c r="D636" s="44" t="s">
        <v>7</v>
      </c>
      <c r="E636" s="44">
        <v>1</v>
      </c>
    </row>
    <row r="637" spans="1:5">
      <c r="A637" s="43" t="s">
        <v>3538</v>
      </c>
      <c r="B637" s="43" t="s">
        <v>4232</v>
      </c>
      <c r="C637" s="42" t="s">
        <v>94</v>
      </c>
      <c r="D637" s="44" t="s">
        <v>7</v>
      </c>
      <c r="E637" s="44">
        <v>1</v>
      </c>
    </row>
    <row r="638" spans="1:5">
      <c r="A638" s="43" t="s">
        <v>3538</v>
      </c>
      <c r="B638" s="43" t="s">
        <v>4233</v>
      </c>
      <c r="C638" s="42" t="s">
        <v>35</v>
      </c>
      <c r="D638" s="44" t="s">
        <v>7</v>
      </c>
      <c r="E638" s="44">
        <v>1</v>
      </c>
    </row>
    <row r="639" spans="1:5">
      <c r="A639" s="43" t="s">
        <v>3538</v>
      </c>
      <c r="B639" s="43" t="s">
        <v>4234</v>
      </c>
      <c r="C639" s="42" t="s">
        <v>4235</v>
      </c>
      <c r="D639" s="44" t="s">
        <v>7</v>
      </c>
      <c r="E639" s="44">
        <v>1</v>
      </c>
    </row>
    <row r="640" spans="1:5">
      <c r="A640" s="43" t="s">
        <v>3538</v>
      </c>
      <c r="B640" s="43" t="s">
        <v>4236</v>
      </c>
      <c r="C640" s="42" t="s">
        <v>3699</v>
      </c>
      <c r="D640" s="44" t="s">
        <v>7</v>
      </c>
      <c r="E640" s="44">
        <v>1</v>
      </c>
    </row>
    <row r="641" spans="1:5">
      <c r="A641" s="43" t="s">
        <v>3538</v>
      </c>
      <c r="B641" s="43" t="s">
        <v>4237</v>
      </c>
      <c r="C641" s="42" t="s">
        <v>3699</v>
      </c>
      <c r="D641" s="44" t="s">
        <v>7</v>
      </c>
      <c r="E641" s="44">
        <v>1</v>
      </c>
    </row>
    <row r="642" spans="1:5">
      <c r="A642" s="43" t="s">
        <v>3538</v>
      </c>
      <c r="B642" s="43" t="s">
        <v>4238</v>
      </c>
      <c r="C642" s="42" t="s">
        <v>3699</v>
      </c>
      <c r="D642" s="44" t="s">
        <v>7</v>
      </c>
      <c r="E642" s="44">
        <v>1</v>
      </c>
    </row>
    <row r="643" spans="1:5">
      <c r="A643" s="43" t="s">
        <v>3538</v>
      </c>
      <c r="B643" s="43" t="s">
        <v>4239</v>
      </c>
      <c r="C643" s="42" t="s">
        <v>96</v>
      </c>
      <c r="D643" s="44" t="s">
        <v>7</v>
      </c>
      <c r="E643" s="44">
        <v>1</v>
      </c>
    </row>
    <row r="644" spans="1:5">
      <c r="A644" s="43" t="s">
        <v>3538</v>
      </c>
      <c r="B644" s="43" t="s">
        <v>4240</v>
      </c>
      <c r="C644" s="42" t="s">
        <v>96</v>
      </c>
      <c r="D644" s="44" t="s">
        <v>7</v>
      </c>
      <c r="E644" s="44">
        <v>1</v>
      </c>
    </row>
    <row r="645" spans="1:5">
      <c r="A645" s="43" t="s">
        <v>3538</v>
      </c>
      <c r="B645" s="43" t="s">
        <v>4241</v>
      </c>
      <c r="C645" s="42" t="s">
        <v>96</v>
      </c>
      <c r="D645" s="44" t="s">
        <v>7</v>
      </c>
      <c r="E645" s="44">
        <v>1</v>
      </c>
    </row>
    <row r="646" spans="1:5">
      <c r="A646" s="43" t="s">
        <v>3538</v>
      </c>
      <c r="B646" s="43" t="s">
        <v>4242</v>
      </c>
      <c r="C646" s="42" t="s">
        <v>96</v>
      </c>
      <c r="D646" s="44" t="s">
        <v>7</v>
      </c>
      <c r="E646" s="44">
        <v>1</v>
      </c>
    </row>
    <row r="647" spans="1:5">
      <c r="A647" s="43" t="s">
        <v>3538</v>
      </c>
      <c r="B647" s="43" t="s">
        <v>4243</v>
      </c>
      <c r="C647" s="42" t="s">
        <v>96</v>
      </c>
      <c r="D647" s="44" t="s">
        <v>7</v>
      </c>
      <c r="E647" s="44">
        <v>1</v>
      </c>
    </row>
    <row r="648" spans="1:5">
      <c r="A648" s="43" t="s">
        <v>3538</v>
      </c>
      <c r="B648" s="43" t="s">
        <v>4244</v>
      </c>
      <c r="C648" s="42" t="s">
        <v>96</v>
      </c>
      <c r="D648" s="44" t="s">
        <v>7</v>
      </c>
      <c r="E648" s="44">
        <v>1</v>
      </c>
    </row>
    <row r="649" spans="1:5">
      <c r="A649" s="43" t="s">
        <v>3538</v>
      </c>
      <c r="B649" s="43" t="s">
        <v>4245</v>
      </c>
      <c r="C649" s="42" t="s">
        <v>96</v>
      </c>
      <c r="D649" s="44" t="s">
        <v>7</v>
      </c>
      <c r="E649" s="44">
        <v>1</v>
      </c>
    </row>
    <row r="650" spans="1:5">
      <c r="A650" s="43" t="s">
        <v>3538</v>
      </c>
      <c r="B650" s="43" t="s">
        <v>4246</v>
      </c>
      <c r="C650" s="42" t="s">
        <v>96</v>
      </c>
      <c r="D650" s="44" t="s">
        <v>7</v>
      </c>
      <c r="E650" s="44">
        <v>1</v>
      </c>
    </row>
    <row r="651" spans="1:5">
      <c r="A651" s="43" t="s">
        <v>3538</v>
      </c>
      <c r="B651" s="43" t="s">
        <v>4247</v>
      </c>
      <c r="C651" s="42" t="s">
        <v>96</v>
      </c>
      <c r="D651" s="44" t="s">
        <v>7</v>
      </c>
      <c r="E651" s="44">
        <v>1</v>
      </c>
    </row>
    <row r="652" spans="1:5">
      <c r="A652" s="43" t="s">
        <v>3538</v>
      </c>
      <c r="B652" s="43" t="s">
        <v>4248</v>
      </c>
      <c r="C652" s="42" t="s">
        <v>96</v>
      </c>
      <c r="D652" s="44" t="s">
        <v>7</v>
      </c>
      <c r="E652" s="44">
        <v>1</v>
      </c>
    </row>
    <row r="653" spans="1:5">
      <c r="A653" s="43" t="s">
        <v>3538</v>
      </c>
      <c r="B653" s="43" t="s">
        <v>4249</v>
      </c>
      <c r="C653" s="42" t="s">
        <v>96</v>
      </c>
      <c r="D653" s="44" t="s">
        <v>7</v>
      </c>
      <c r="E653" s="44">
        <v>1</v>
      </c>
    </row>
    <row r="654" spans="1:5">
      <c r="A654" s="43" t="s">
        <v>3538</v>
      </c>
      <c r="B654" s="43" t="s">
        <v>4250</v>
      </c>
      <c r="C654" s="42" t="s">
        <v>96</v>
      </c>
      <c r="D654" s="44" t="s">
        <v>7</v>
      </c>
      <c r="E654" s="44">
        <v>1</v>
      </c>
    </row>
    <row r="655" spans="1:5">
      <c r="A655" s="43" t="s">
        <v>3538</v>
      </c>
      <c r="B655" s="43" t="s">
        <v>4251</v>
      </c>
      <c r="C655" s="42" t="s">
        <v>96</v>
      </c>
      <c r="D655" s="44" t="s">
        <v>7</v>
      </c>
      <c r="E655" s="44">
        <v>1</v>
      </c>
    </row>
    <row r="656" spans="1:5">
      <c r="A656" s="43" t="s">
        <v>3538</v>
      </c>
      <c r="B656" s="43" t="s">
        <v>4252</v>
      </c>
      <c r="C656" s="42" t="s">
        <v>96</v>
      </c>
      <c r="D656" s="44" t="s">
        <v>7</v>
      </c>
      <c r="E656" s="44">
        <v>1</v>
      </c>
    </row>
    <row r="657" spans="1:5">
      <c r="A657" s="43" t="s">
        <v>3538</v>
      </c>
      <c r="B657" s="43" t="s">
        <v>4253</v>
      </c>
      <c r="C657" s="42" t="s">
        <v>96</v>
      </c>
      <c r="D657" s="44" t="s">
        <v>7</v>
      </c>
      <c r="E657" s="44">
        <v>1</v>
      </c>
    </row>
    <row r="658" spans="1:5">
      <c r="A658" s="43" t="s">
        <v>3538</v>
      </c>
      <c r="B658" s="43" t="s">
        <v>4254</v>
      </c>
      <c r="C658" s="42" t="s">
        <v>96</v>
      </c>
      <c r="D658" s="44" t="s">
        <v>7</v>
      </c>
      <c r="E658" s="44">
        <v>1</v>
      </c>
    </row>
    <row r="659" spans="1:5">
      <c r="A659" s="43" t="s">
        <v>3538</v>
      </c>
      <c r="B659" s="43" t="s">
        <v>4255</v>
      </c>
      <c r="C659" s="42" t="s">
        <v>96</v>
      </c>
      <c r="D659" s="44" t="s">
        <v>7</v>
      </c>
      <c r="E659" s="44">
        <v>1</v>
      </c>
    </row>
    <row r="660" spans="1:5">
      <c r="A660" s="43" t="s">
        <v>3538</v>
      </c>
      <c r="B660" s="43" t="s">
        <v>4256</v>
      </c>
      <c r="C660" s="42" t="s">
        <v>96</v>
      </c>
      <c r="D660" s="44" t="s">
        <v>7</v>
      </c>
      <c r="E660" s="44">
        <v>1</v>
      </c>
    </row>
    <row r="661" spans="1:5">
      <c r="A661" s="43" t="s">
        <v>3538</v>
      </c>
      <c r="B661" s="43" t="s">
        <v>4257</v>
      </c>
      <c r="C661" s="42" t="s">
        <v>96</v>
      </c>
      <c r="D661" s="44" t="s">
        <v>7</v>
      </c>
      <c r="E661" s="44">
        <v>1</v>
      </c>
    </row>
    <row r="662" spans="1:5">
      <c r="A662" s="43" t="s">
        <v>3538</v>
      </c>
      <c r="B662" s="43" t="s">
        <v>4258</v>
      </c>
      <c r="C662" s="42" t="s">
        <v>96</v>
      </c>
      <c r="D662" s="44" t="s">
        <v>7</v>
      </c>
      <c r="E662" s="44">
        <v>1</v>
      </c>
    </row>
    <row r="663" spans="1:5">
      <c r="A663" s="43" t="s">
        <v>3538</v>
      </c>
      <c r="B663" s="43" t="s">
        <v>4259</v>
      </c>
      <c r="C663" s="42" t="s">
        <v>96</v>
      </c>
      <c r="D663" s="44" t="s">
        <v>7</v>
      </c>
      <c r="E663" s="44">
        <v>1</v>
      </c>
    </row>
    <row r="664" spans="1:5">
      <c r="A664" s="43" t="s">
        <v>3538</v>
      </c>
      <c r="B664" s="43" t="s">
        <v>4260</v>
      </c>
      <c r="C664" s="42" t="s">
        <v>96</v>
      </c>
      <c r="D664" s="44" t="s">
        <v>7</v>
      </c>
      <c r="E664" s="44">
        <v>1</v>
      </c>
    </row>
    <row r="665" spans="1:5">
      <c r="A665" s="43" t="s">
        <v>3538</v>
      </c>
      <c r="B665" s="43" t="s">
        <v>4261</v>
      </c>
      <c r="C665" s="42" t="s">
        <v>96</v>
      </c>
      <c r="D665" s="44" t="s">
        <v>7</v>
      </c>
      <c r="E665" s="44">
        <v>1</v>
      </c>
    </row>
    <row r="666" spans="1:5">
      <c r="A666" s="43" t="s">
        <v>3538</v>
      </c>
      <c r="B666" s="43" t="s">
        <v>4262</v>
      </c>
      <c r="C666" s="42" t="s">
        <v>96</v>
      </c>
      <c r="D666" s="44" t="s">
        <v>7</v>
      </c>
      <c r="E666" s="44">
        <v>1</v>
      </c>
    </row>
    <row r="667" spans="1:5">
      <c r="A667" s="43" t="s">
        <v>3538</v>
      </c>
      <c r="B667" s="43" t="s">
        <v>4263</v>
      </c>
      <c r="C667" s="42" t="s">
        <v>96</v>
      </c>
      <c r="D667" s="44" t="s">
        <v>7</v>
      </c>
      <c r="E667" s="44">
        <v>1</v>
      </c>
    </row>
    <row r="668" spans="1:5">
      <c r="A668" s="43" t="s">
        <v>3538</v>
      </c>
      <c r="B668" s="43" t="s">
        <v>4264</v>
      </c>
      <c r="C668" s="42" t="s">
        <v>96</v>
      </c>
      <c r="D668" s="44" t="s">
        <v>7</v>
      </c>
      <c r="E668" s="44">
        <v>1</v>
      </c>
    </row>
    <row r="669" spans="1:5">
      <c r="A669" s="43" t="s">
        <v>3538</v>
      </c>
      <c r="B669" s="43" t="s">
        <v>4265</v>
      </c>
      <c r="C669" s="42" t="s">
        <v>96</v>
      </c>
      <c r="D669" s="44" t="s">
        <v>7</v>
      </c>
      <c r="E669" s="44">
        <v>1</v>
      </c>
    </row>
    <row r="670" spans="1:5">
      <c r="A670" s="43" t="s">
        <v>3538</v>
      </c>
      <c r="B670" s="43" t="s">
        <v>4266</v>
      </c>
      <c r="C670" s="42" t="s">
        <v>96</v>
      </c>
      <c r="D670" s="44" t="s">
        <v>7</v>
      </c>
      <c r="E670" s="44">
        <v>1</v>
      </c>
    </row>
    <row r="671" spans="1:5">
      <c r="A671" s="43" t="s">
        <v>3538</v>
      </c>
      <c r="B671" s="43" t="s">
        <v>4267</v>
      </c>
      <c r="C671" s="42" t="s">
        <v>96</v>
      </c>
      <c r="D671" s="44" t="s">
        <v>7</v>
      </c>
      <c r="E671" s="44">
        <v>1</v>
      </c>
    </row>
    <row r="672" spans="1:5">
      <c r="A672" s="43" t="s">
        <v>3538</v>
      </c>
      <c r="B672" s="43" t="s">
        <v>4268</v>
      </c>
      <c r="C672" s="42" t="s">
        <v>96</v>
      </c>
      <c r="D672" s="44" t="s">
        <v>7</v>
      </c>
      <c r="E672" s="44">
        <v>1</v>
      </c>
    </row>
    <row r="673" spans="1:5">
      <c r="A673" s="43" t="s">
        <v>3538</v>
      </c>
      <c r="B673" s="43" t="s">
        <v>4269</v>
      </c>
      <c r="C673" s="42" t="s">
        <v>96</v>
      </c>
      <c r="D673" s="44" t="s">
        <v>7</v>
      </c>
      <c r="E673" s="44">
        <v>1</v>
      </c>
    </row>
    <row r="674" spans="1:5">
      <c r="A674" s="43" t="s">
        <v>3538</v>
      </c>
      <c r="B674" s="43" t="s">
        <v>4270</v>
      </c>
      <c r="C674" s="42" t="s">
        <v>96</v>
      </c>
      <c r="D674" s="44" t="s">
        <v>7</v>
      </c>
      <c r="E674" s="44">
        <v>1</v>
      </c>
    </row>
    <row r="675" spans="1:5">
      <c r="A675" s="43" t="s">
        <v>3538</v>
      </c>
      <c r="B675" s="43" t="s">
        <v>4271</v>
      </c>
      <c r="C675" s="42" t="s">
        <v>96</v>
      </c>
      <c r="D675" s="44" t="s">
        <v>7</v>
      </c>
      <c r="E675" s="44">
        <v>1</v>
      </c>
    </row>
    <row r="676" spans="1:5">
      <c r="A676" s="43" t="s">
        <v>3538</v>
      </c>
      <c r="B676" s="43" t="s">
        <v>4272</v>
      </c>
      <c r="C676" s="42" t="s">
        <v>96</v>
      </c>
      <c r="D676" s="44" t="s">
        <v>7</v>
      </c>
      <c r="E676" s="44">
        <v>1</v>
      </c>
    </row>
    <row r="677" spans="1:5">
      <c r="A677" s="43" t="s">
        <v>3538</v>
      </c>
      <c r="B677" s="43" t="s">
        <v>4273</v>
      </c>
      <c r="C677" s="42" t="s">
        <v>96</v>
      </c>
      <c r="D677" s="44" t="s">
        <v>7</v>
      </c>
      <c r="E677" s="44">
        <v>1</v>
      </c>
    </row>
    <row r="678" spans="1:5">
      <c r="A678" s="43" t="s">
        <v>3538</v>
      </c>
      <c r="B678" s="43" t="s">
        <v>4274</v>
      </c>
      <c r="C678" s="42" t="s">
        <v>96</v>
      </c>
      <c r="D678" s="44" t="s">
        <v>7</v>
      </c>
      <c r="E678" s="44">
        <v>1</v>
      </c>
    </row>
    <row r="679" spans="1:5">
      <c r="A679" s="43" t="s">
        <v>3538</v>
      </c>
      <c r="B679" s="43" t="s">
        <v>4275</v>
      </c>
      <c r="C679" s="42" t="s">
        <v>96</v>
      </c>
      <c r="D679" s="44" t="s">
        <v>7</v>
      </c>
      <c r="E679" s="44">
        <v>1</v>
      </c>
    </row>
    <row r="680" spans="1:5">
      <c r="A680" s="43" t="s">
        <v>3538</v>
      </c>
      <c r="B680" s="43" t="s">
        <v>4276</v>
      </c>
      <c r="C680" s="42" t="s">
        <v>96</v>
      </c>
      <c r="D680" s="44" t="s">
        <v>7</v>
      </c>
      <c r="E680" s="44">
        <v>1</v>
      </c>
    </row>
    <row r="681" spans="1:5">
      <c r="A681" s="43" t="s">
        <v>3538</v>
      </c>
      <c r="B681" s="43" t="s">
        <v>4277</v>
      </c>
      <c r="C681" s="42" t="s">
        <v>96</v>
      </c>
      <c r="D681" s="44" t="s">
        <v>7</v>
      </c>
      <c r="E681" s="44">
        <v>1</v>
      </c>
    </row>
    <row r="682" spans="1:5">
      <c r="A682" s="43" t="s">
        <v>3538</v>
      </c>
      <c r="B682" s="43" t="s">
        <v>4278</v>
      </c>
      <c r="C682" s="42" t="s">
        <v>96</v>
      </c>
      <c r="D682" s="44" t="s">
        <v>7</v>
      </c>
      <c r="E682" s="44">
        <v>1</v>
      </c>
    </row>
    <row r="683" spans="1:5">
      <c r="A683" s="43" t="s">
        <v>3538</v>
      </c>
      <c r="B683" s="43" t="s">
        <v>4279</v>
      </c>
      <c r="C683" s="42" t="s">
        <v>96</v>
      </c>
      <c r="D683" s="44" t="s">
        <v>7</v>
      </c>
      <c r="E683" s="44">
        <v>1</v>
      </c>
    </row>
    <row r="684" spans="1:5">
      <c r="A684" s="43" t="s">
        <v>3538</v>
      </c>
      <c r="B684" s="43" t="s">
        <v>4280</v>
      </c>
      <c r="C684" s="42" t="s">
        <v>96</v>
      </c>
      <c r="D684" s="44" t="s">
        <v>7</v>
      </c>
      <c r="E684" s="44">
        <v>1</v>
      </c>
    </row>
    <row r="685" spans="1:5">
      <c r="A685" s="43" t="s">
        <v>3538</v>
      </c>
      <c r="B685" s="43" t="s">
        <v>4281</v>
      </c>
      <c r="C685" s="42" t="s">
        <v>96</v>
      </c>
      <c r="D685" s="44" t="s">
        <v>7</v>
      </c>
      <c r="E685" s="44">
        <v>1</v>
      </c>
    </row>
    <row r="686" spans="1:5">
      <c r="A686" s="43" t="s">
        <v>3538</v>
      </c>
      <c r="B686" s="43" t="s">
        <v>4282</v>
      </c>
      <c r="C686" s="42" t="s">
        <v>96</v>
      </c>
      <c r="D686" s="44" t="s">
        <v>7</v>
      </c>
      <c r="E686" s="44">
        <v>1</v>
      </c>
    </row>
    <row r="687" spans="1:5">
      <c r="A687" s="43" t="s">
        <v>3538</v>
      </c>
      <c r="B687" s="43" t="s">
        <v>4283</v>
      </c>
      <c r="C687" s="42" t="s">
        <v>96</v>
      </c>
      <c r="D687" s="44" t="s">
        <v>7</v>
      </c>
      <c r="E687" s="44">
        <v>1</v>
      </c>
    </row>
    <row r="688" spans="1:5">
      <c r="A688" s="43" t="s">
        <v>3538</v>
      </c>
      <c r="B688" s="43" t="s">
        <v>4284</v>
      </c>
      <c r="C688" s="42" t="s">
        <v>96</v>
      </c>
      <c r="D688" s="44" t="s">
        <v>7</v>
      </c>
      <c r="E688" s="44">
        <v>1</v>
      </c>
    </row>
    <row r="689" spans="1:5">
      <c r="A689" s="43" t="s">
        <v>3538</v>
      </c>
      <c r="B689" s="43" t="s">
        <v>4285</v>
      </c>
      <c r="C689" s="42" t="s">
        <v>96</v>
      </c>
      <c r="D689" s="44" t="s">
        <v>7</v>
      </c>
      <c r="E689" s="44">
        <v>1</v>
      </c>
    </row>
    <row r="690" spans="1:5">
      <c r="A690" s="43" t="s">
        <v>3538</v>
      </c>
      <c r="B690" s="43" t="s">
        <v>4286</v>
      </c>
      <c r="C690" s="42" t="s">
        <v>96</v>
      </c>
      <c r="D690" s="44" t="s">
        <v>7</v>
      </c>
      <c r="E690" s="44">
        <v>1</v>
      </c>
    </row>
    <row r="691" spans="1:5">
      <c r="A691" s="43" t="s">
        <v>3538</v>
      </c>
      <c r="B691" s="43" t="s">
        <v>4287</v>
      </c>
      <c r="C691" s="42" t="s">
        <v>96</v>
      </c>
      <c r="D691" s="44" t="s">
        <v>7</v>
      </c>
      <c r="E691" s="44">
        <v>1</v>
      </c>
    </row>
    <row r="692" spans="1:5">
      <c r="A692" s="43" t="s">
        <v>3538</v>
      </c>
      <c r="B692" s="43" t="s">
        <v>4288</v>
      </c>
      <c r="C692" s="42" t="s">
        <v>96</v>
      </c>
      <c r="D692" s="44" t="s">
        <v>7</v>
      </c>
      <c r="E692" s="44">
        <v>1</v>
      </c>
    </row>
    <row r="693" spans="1:5">
      <c r="A693" s="43" t="s">
        <v>3538</v>
      </c>
      <c r="B693" s="43" t="s">
        <v>4289</v>
      </c>
      <c r="C693" s="42" t="s">
        <v>96</v>
      </c>
      <c r="D693" s="44" t="s">
        <v>7</v>
      </c>
      <c r="E693" s="44">
        <v>1</v>
      </c>
    </row>
    <row r="694" spans="1:5">
      <c r="A694" s="43" t="s">
        <v>3538</v>
      </c>
      <c r="B694" s="43" t="s">
        <v>4290</v>
      </c>
      <c r="C694" s="42" t="s">
        <v>96</v>
      </c>
      <c r="D694" s="44" t="s">
        <v>7</v>
      </c>
      <c r="E694" s="44">
        <v>1</v>
      </c>
    </row>
    <row r="695" spans="1:5">
      <c r="A695" s="43" t="s">
        <v>3538</v>
      </c>
      <c r="B695" s="43" t="s">
        <v>4291</v>
      </c>
      <c r="C695" s="42" t="s">
        <v>96</v>
      </c>
      <c r="D695" s="44" t="s">
        <v>7</v>
      </c>
      <c r="E695" s="44">
        <v>1</v>
      </c>
    </row>
    <row r="696" spans="1:5">
      <c r="A696" s="43" t="s">
        <v>3538</v>
      </c>
      <c r="B696" s="43" t="s">
        <v>4292</v>
      </c>
      <c r="C696" s="42" t="s">
        <v>96</v>
      </c>
      <c r="D696" s="44" t="s">
        <v>7</v>
      </c>
      <c r="E696" s="44">
        <v>1</v>
      </c>
    </row>
    <row r="697" spans="1:5">
      <c r="A697" s="43" t="s">
        <v>3538</v>
      </c>
      <c r="B697" s="43" t="s">
        <v>4293</v>
      </c>
      <c r="C697" s="42" t="s">
        <v>96</v>
      </c>
      <c r="D697" s="44" t="s">
        <v>7</v>
      </c>
      <c r="E697" s="44">
        <v>1</v>
      </c>
    </row>
    <row r="698" spans="1:5">
      <c r="A698" s="43" t="s">
        <v>3538</v>
      </c>
      <c r="B698" s="43" t="s">
        <v>4294</v>
      </c>
      <c r="C698" s="42" t="s">
        <v>1671</v>
      </c>
      <c r="D698" s="44" t="s">
        <v>7</v>
      </c>
      <c r="E698" s="44">
        <v>1</v>
      </c>
    </row>
    <row r="699" spans="1:5">
      <c r="A699" s="43" t="s">
        <v>3538</v>
      </c>
      <c r="B699" s="43">
        <v>20180601</v>
      </c>
      <c r="C699" s="42" t="s">
        <v>96</v>
      </c>
      <c r="D699" s="44" t="s">
        <v>7</v>
      </c>
      <c r="E699" s="44">
        <v>1</v>
      </c>
    </row>
    <row r="700" spans="1:5">
      <c r="A700" s="43" t="s">
        <v>3538</v>
      </c>
      <c r="B700" s="43" t="s">
        <v>4295</v>
      </c>
      <c r="C700" s="42" t="s">
        <v>367</v>
      </c>
      <c r="D700" s="44" t="s">
        <v>7</v>
      </c>
      <c r="E700" s="44">
        <v>1</v>
      </c>
    </row>
    <row r="701" spans="1:5">
      <c r="A701" s="43" t="s">
        <v>3538</v>
      </c>
      <c r="B701" s="43" t="s">
        <v>4296</v>
      </c>
      <c r="C701" s="42" t="s">
        <v>94</v>
      </c>
      <c r="D701" s="44" t="s">
        <v>7</v>
      </c>
      <c r="E701" s="44">
        <v>1</v>
      </c>
    </row>
    <row r="702" spans="1:5">
      <c r="A702" s="43" t="s">
        <v>3538</v>
      </c>
      <c r="B702" s="43" t="s">
        <v>4297</v>
      </c>
      <c r="C702" s="42" t="s">
        <v>3212</v>
      </c>
      <c r="D702" s="44" t="s">
        <v>7</v>
      </c>
      <c r="E702" s="44">
        <v>1</v>
      </c>
    </row>
    <row r="703" spans="1:5">
      <c r="A703" s="43" t="s">
        <v>3538</v>
      </c>
      <c r="B703" s="43" t="s">
        <v>4298</v>
      </c>
      <c r="C703" s="42" t="s">
        <v>2478</v>
      </c>
      <c r="D703" s="44" t="s">
        <v>7</v>
      </c>
      <c r="E703" s="44">
        <v>1</v>
      </c>
    </row>
    <row r="704" spans="1:5">
      <c r="A704" s="43" t="s">
        <v>3538</v>
      </c>
      <c r="B704" s="43" t="s">
        <v>4299</v>
      </c>
      <c r="C704" s="42" t="s">
        <v>1148</v>
      </c>
      <c r="D704" s="44" t="s">
        <v>7</v>
      </c>
      <c r="E704" s="44">
        <v>1</v>
      </c>
    </row>
    <row r="705" spans="1:5">
      <c r="A705" s="43" t="s">
        <v>3538</v>
      </c>
      <c r="B705" s="43" t="s">
        <v>4300</v>
      </c>
      <c r="C705" s="42" t="s">
        <v>1611</v>
      </c>
      <c r="D705" s="44" t="s">
        <v>7</v>
      </c>
      <c r="E705" s="44">
        <v>1</v>
      </c>
    </row>
    <row r="706" spans="1:5">
      <c r="A706" s="43" t="s">
        <v>3538</v>
      </c>
      <c r="B706" s="43" t="s">
        <v>4301</v>
      </c>
      <c r="C706" s="42" t="s">
        <v>1143</v>
      </c>
      <c r="D706" s="44" t="s">
        <v>7</v>
      </c>
      <c r="E706" s="44">
        <v>1</v>
      </c>
    </row>
    <row r="707" spans="1:5">
      <c r="A707" s="43" t="s">
        <v>3538</v>
      </c>
      <c r="B707" s="43" t="s">
        <v>4302</v>
      </c>
      <c r="C707" s="42" t="s">
        <v>4152</v>
      </c>
      <c r="D707" s="44" t="s">
        <v>7</v>
      </c>
      <c r="E707" s="44">
        <v>1</v>
      </c>
    </row>
    <row r="708" spans="1:5">
      <c r="A708" s="43" t="s">
        <v>3538</v>
      </c>
      <c r="B708" s="43" t="s">
        <v>4303</v>
      </c>
      <c r="C708" s="42" t="s">
        <v>49</v>
      </c>
      <c r="D708" s="44" t="s">
        <v>7</v>
      </c>
      <c r="E708" s="44">
        <v>1</v>
      </c>
    </row>
    <row r="709" spans="1:5">
      <c r="A709" s="43" t="s">
        <v>3538</v>
      </c>
      <c r="B709" s="43" t="s">
        <v>4304</v>
      </c>
      <c r="C709" s="42" t="s">
        <v>96</v>
      </c>
      <c r="D709" s="44" t="s">
        <v>7</v>
      </c>
      <c r="E709" s="44">
        <v>1</v>
      </c>
    </row>
    <row r="710" spans="1:5">
      <c r="A710" s="43" t="s">
        <v>3538</v>
      </c>
      <c r="B710" s="43" t="s">
        <v>4305</v>
      </c>
      <c r="C710" s="42" t="s">
        <v>96</v>
      </c>
      <c r="D710" s="44" t="s">
        <v>7</v>
      </c>
      <c r="E710" s="44">
        <v>1</v>
      </c>
    </row>
    <row r="711" spans="1:5">
      <c r="A711" s="43" t="s">
        <v>3538</v>
      </c>
      <c r="B711" s="43" t="s">
        <v>4306</v>
      </c>
      <c r="C711" s="42" t="s">
        <v>96</v>
      </c>
      <c r="D711" s="44" t="s">
        <v>7</v>
      </c>
      <c r="E711" s="44">
        <v>1</v>
      </c>
    </row>
    <row r="712" spans="1:5">
      <c r="A712" s="43" t="s">
        <v>3538</v>
      </c>
      <c r="B712" s="43" t="s">
        <v>4307</v>
      </c>
      <c r="C712" s="42" t="s">
        <v>96</v>
      </c>
      <c r="D712" s="44" t="s">
        <v>7</v>
      </c>
      <c r="E712" s="44">
        <v>1</v>
      </c>
    </row>
    <row r="713" spans="1:5">
      <c r="A713" s="43" t="s">
        <v>3538</v>
      </c>
      <c r="B713" s="43" t="s">
        <v>4308</v>
      </c>
      <c r="C713" s="42" t="s">
        <v>96</v>
      </c>
      <c r="D713" s="44" t="s">
        <v>7</v>
      </c>
      <c r="E713" s="44">
        <v>1</v>
      </c>
    </row>
    <row r="714" spans="1:5">
      <c r="A714" s="43" t="s">
        <v>3538</v>
      </c>
      <c r="B714" s="43" t="s">
        <v>4309</v>
      </c>
      <c r="C714" s="42" t="s">
        <v>96</v>
      </c>
      <c r="D714" s="44" t="s">
        <v>7</v>
      </c>
      <c r="E714" s="44">
        <v>1</v>
      </c>
    </row>
    <row r="715" spans="1:5">
      <c r="A715" s="43" t="s">
        <v>3538</v>
      </c>
      <c r="B715" s="43" t="s">
        <v>4310</v>
      </c>
      <c r="C715" s="42" t="s">
        <v>96</v>
      </c>
      <c r="D715" s="44" t="s">
        <v>7</v>
      </c>
      <c r="E715" s="44">
        <v>1</v>
      </c>
    </row>
    <row r="716" spans="1:5">
      <c r="A716" s="43" t="s">
        <v>3538</v>
      </c>
      <c r="B716" s="43" t="s">
        <v>4311</v>
      </c>
      <c r="C716" s="42" t="s">
        <v>96</v>
      </c>
      <c r="D716" s="44" t="s">
        <v>7</v>
      </c>
      <c r="E716" s="44">
        <v>1</v>
      </c>
    </row>
    <row r="717" spans="1:5">
      <c r="A717" s="43" t="s">
        <v>3538</v>
      </c>
      <c r="B717" s="43" t="s">
        <v>4312</v>
      </c>
      <c r="C717" s="42" t="s">
        <v>96</v>
      </c>
      <c r="D717" s="44" t="s">
        <v>7</v>
      </c>
      <c r="E717" s="44">
        <v>1</v>
      </c>
    </row>
    <row r="718" spans="1:5">
      <c r="A718" s="43" t="s">
        <v>3538</v>
      </c>
      <c r="B718" s="43" t="s">
        <v>4313</v>
      </c>
      <c r="C718" s="42" t="s">
        <v>96</v>
      </c>
      <c r="D718" s="44" t="s">
        <v>7</v>
      </c>
      <c r="E718" s="44">
        <v>1</v>
      </c>
    </row>
    <row r="719" spans="1:5">
      <c r="A719" s="43" t="s">
        <v>3538</v>
      </c>
      <c r="B719" s="43" t="s">
        <v>4314</v>
      </c>
      <c r="C719" s="42" t="s">
        <v>96</v>
      </c>
      <c r="D719" s="44" t="s">
        <v>7</v>
      </c>
      <c r="E719" s="44">
        <v>1</v>
      </c>
    </row>
    <row r="720" spans="1:5">
      <c r="A720" s="43" t="s">
        <v>3538</v>
      </c>
      <c r="B720" s="43" t="s">
        <v>4315</v>
      </c>
      <c r="C720" s="42" t="s">
        <v>96</v>
      </c>
      <c r="D720" s="44" t="s">
        <v>7</v>
      </c>
      <c r="E720" s="44">
        <v>1</v>
      </c>
    </row>
    <row r="721" spans="1:5">
      <c r="A721" s="43" t="s">
        <v>3538</v>
      </c>
      <c r="B721" s="43" t="s">
        <v>4316</v>
      </c>
      <c r="C721" s="42" t="s">
        <v>96</v>
      </c>
      <c r="D721" s="44" t="s">
        <v>7</v>
      </c>
      <c r="E721" s="44">
        <v>1</v>
      </c>
    </row>
    <row r="722" spans="1:5">
      <c r="A722" s="43" t="s">
        <v>3538</v>
      </c>
      <c r="B722" s="43" t="s">
        <v>4317</v>
      </c>
      <c r="C722" s="42" t="s">
        <v>96</v>
      </c>
      <c r="D722" s="44" t="s">
        <v>7</v>
      </c>
      <c r="E722" s="44">
        <v>1</v>
      </c>
    </row>
    <row r="723" spans="1:5">
      <c r="A723" s="43" t="s">
        <v>3538</v>
      </c>
      <c r="B723" s="43" t="s">
        <v>4318</v>
      </c>
      <c r="C723" s="42" t="s">
        <v>96</v>
      </c>
      <c r="D723" s="44" t="s">
        <v>7</v>
      </c>
      <c r="E723" s="44">
        <v>1</v>
      </c>
    </row>
    <row r="724" spans="1:5">
      <c r="A724" s="43" t="s">
        <v>3538</v>
      </c>
      <c r="B724" s="43" t="s">
        <v>4319</v>
      </c>
      <c r="C724" s="42" t="s">
        <v>96</v>
      </c>
      <c r="D724" s="44" t="s">
        <v>7</v>
      </c>
      <c r="E724" s="44">
        <v>1</v>
      </c>
    </row>
    <row r="725" spans="1:5">
      <c r="A725" s="43" t="s">
        <v>3538</v>
      </c>
      <c r="B725" s="43" t="s">
        <v>4320</v>
      </c>
      <c r="C725" s="42" t="s">
        <v>96</v>
      </c>
      <c r="D725" s="44" t="s">
        <v>7</v>
      </c>
      <c r="E725" s="44">
        <v>1</v>
      </c>
    </row>
    <row r="726" spans="1:5">
      <c r="A726" s="43" t="s">
        <v>3538</v>
      </c>
      <c r="B726" s="43" t="s">
        <v>4321</v>
      </c>
      <c r="C726" s="42" t="s">
        <v>96</v>
      </c>
      <c r="D726" s="44" t="s">
        <v>7</v>
      </c>
      <c r="E726" s="44">
        <v>1</v>
      </c>
    </row>
    <row r="727" spans="1:5">
      <c r="A727" s="43" t="s">
        <v>3538</v>
      </c>
      <c r="B727" s="43" t="s">
        <v>4322</v>
      </c>
      <c r="C727" s="42" t="s">
        <v>96</v>
      </c>
      <c r="D727" s="44" t="s">
        <v>7</v>
      </c>
      <c r="E727" s="44">
        <v>1</v>
      </c>
    </row>
    <row r="728" spans="1:5">
      <c r="A728" s="43" t="s">
        <v>3538</v>
      </c>
      <c r="B728" s="43" t="s">
        <v>4323</v>
      </c>
      <c r="C728" s="42" t="s">
        <v>96</v>
      </c>
      <c r="D728" s="44" t="s">
        <v>7</v>
      </c>
      <c r="E728" s="44">
        <v>1</v>
      </c>
    </row>
    <row r="729" spans="1:5">
      <c r="A729" s="43" t="s">
        <v>3538</v>
      </c>
      <c r="B729" s="43" t="s">
        <v>4324</v>
      </c>
      <c r="C729" s="42" t="s">
        <v>96</v>
      </c>
      <c r="D729" s="44" t="s">
        <v>7</v>
      </c>
      <c r="E729" s="44">
        <v>1</v>
      </c>
    </row>
    <row r="730" spans="1:5">
      <c r="A730" s="43" t="s">
        <v>3538</v>
      </c>
      <c r="B730" s="43" t="s">
        <v>4325</v>
      </c>
      <c r="C730" s="42" t="s">
        <v>96</v>
      </c>
      <c r="D730" s="44" t="s">
        <v>7</v>
      </c>
      <c r="E730" s="44">
        <v>1</v>
      </c>
    </row>
    <row r="731" spans="1:5">
      <c r="A731" s="43" t="s">
        <v>3538</v>
      </c>
      <c r="B731" s="43" t="s">
        <v>4326</v>
      </c>
      <c r="C731" s="42" t="s">
        <v>96</v>
      </c>
      <c r="D731" s="44" t="s">
        <v>7</v>
      </c>
      <c r="E731" s="44">
        <v>1</v>
      </c>
    </row>
    <row r="732" spans="1:5">
      <c r="A732" s="43" t="s">
        <v>3538</v>
      </c>
      <c r="B732" s="43" t="s">
        <v>4327</v>
      </c>
      <c r="C732" s="42" t="s">
        <v>96</v>
      </c>
      <c r="D732" s="44" t="s">
        <v>7</v>
      </c>
      <c r="E732" s="44">
        <v>1</v>
      </c>
    </row>
    <row r="733" spans="1:5">
      <c r="A733" s="43" t="s">
        <v>3538</v>
      </c>
      <c r="B733" s="43" t="s">
        <v>4328</v>
      </c>
      <c r="C733" s="42" t="s">
        <v>96</v>
      </c>
      <c r="D733" s="44" t="s">
        <v>7</v>
      </c>
      <c r="E733" s="44">
        <v>1</v>
      </c>
    </row>
    <row r="734" spans="1:5">
      <c r="A734" s="43" t="s">
        <v>3538</v>
      </c>
      <c r="B734" s="43" t="s">
        <v>4329</v>
      </c>
      <c r="C734" s="42" t="s">
        <v>96</v>
      </c>
      <c r="D734" s="44" t="s">
        <v>7</v>
      </c>
      <c r="E734" s="44">
        <v>1</v>
      </c>
    </row>
    <row r="735" spans="1:5">
      <c r="A735" s="43" t="s">
        <v>3538</v>
      </c>
      <c r="B735" s="43" t="s">
        <v>4330</v>
      </c>
      <c r="C735" s="42" t="s">
        <v>96</v>
      </c>
      <c r="D735" s="44" t="s">
        <v>7</v>
      </c>
      <c r="E735" s="44">
        <v>1</v>
      </c>
    </row>
    <row r="736" spans="1:5">
      <c r="A736" s="43" t="s">
        <v>3538</v>
      </c>
      <c r="B736" s="43" t="s">
        <v>4331</v>
      </c>
      <c r="C736" s="42" t="s">
        <v>96</v>
      </c>
      <c r="D736" s="44" t="s">
        <v>7</v>
      </c>
      <c r="E736" s="44">
        <v>1</v>
      </c>
    </row>
    <row r="737" spans="1:5">
      <c r="A737" s="43" t="s">
        <v>3538</v>
      </c>
      <c r="B737" s="43" t="s">
        <v>4332</v>
      </c>
      <c r="C737" s="42" t="s">
        <v>96</v>
      </c>
      <c r="D737" s="44" t="s">
        <v>7</v>
      </c>
      <c r="E737" s="44">
        <v>1</v>
      </c>
    </row>
    <row r="738" spans="1:5">
      <c r="A738" s="43" t="s">
        <v>3538</v>
      </c>
      <c r="B738" s="43" t="s">
        <v>4333</v>
      </c>
      <c r="C738" s="42" t="s">
        <v>96</v>
      </c>
      <c r="D738" s="44" t="s">
        <v>7</v>
      </c>
      <c r="E738" s="44">
        <v>1</v>
      </c>
    </row>
    <row r="739" spans="1:5">
      <c r="A739" s="43" t="s">
        <v>3538</v>
      </c>
      <c r="B739" s="43" t="s">
        <v>4334</v>
      </c>
      <c r="C739" s="42" t="s">
        <v>96</v>
      </c>
      <c r="D739" s="44" t="s">
        <v>7</v>
      </c>
      <c r="E739" s="44">
        <v>1</v>
      </c>
    </row>
    <row r="740" spans="1:5">
      <c r="A740" s="43" t="s">
        <v>3538</v>
      </c>
      <c r="B740" s="43" t="s">
        <v>4335</v>
      </c>
      <c r="C740" s="42" t="s">
        <v>96</v>
      </c>
      <c r="D740" s="44" t="s">
        <v>7</v>
      </c>
      <c r="E740" s="44">
        <v>1</v>
      </c>
    </row>
    <row r="741" spans="1:5">
      <c r="A741" s="43" t="s">
        <v>3538</v>
      </c>
      <c r="B741" s="43" t="s">
        <v>4336</v>
      </c>
      <c r="C741" s="42" t="s">
        <v>96</v>
      </c>
      <c r="D741" s="44" t="s">
        <v>7</v>
      </c>
      <c r="E741" s="44">
        <v>1</v>
      </c>
    </row>
    <row r="742" spans="1:5">
      <c r="A742" s="43" t="s">
        <v>3538</v>
      </c>
      <c r="B742" s="43" t="s">
        <v>4337</v>
      </c>
      <c r="C742" s="42" t="s">
        <v>96</v>
      </c>
      <c r="D742" s="44" t="s">
        <v>7</v>
      </c>
      <c r="E742" s="44">
        <v>1</v>
      </c>
    </row>
    <row r="743" spans="1:5">
      <c r="A743" s="43" t="s">
        <v>3538</v>
      </c>
      <c r="B743" s="43" t="s">
        <v>4338</v>
      </c>
      <c r="C743" s="42" t="s">
        <v>96</v>
      </c>
      <c r="D743" s="44" t="s">
        <v>7</v>
      </c>
      <c r="E743" s="44">
        <v>1</v>
      </c>
    </row>
    <row r="744" spans="1:5">
      <c r="A744" s="43" t="s">
        <v>3538</v>
      </c>
      <c r="B744" s="43" t="s">
        <v>4339</v>
      </c>
      <c r="C744" s="42" t="s">
        <v>96</v>
      </c>
      <c r="D744" s="44" t="s">
        <v>7</v>
      </c>
      <c r="E744" s="44">
        <v>1</v>
      </c>
    </row>
    <row r="745" spans="1:5">
      <c r="A745" s="43" t="s">
        <v>3538</v>
      </c>
      <c r="B745" s="43" t="s">
        <v>4340</v>
      </c>
      <c r="C745" s="42" t="s">
        <v>96</v>
      </c>
      <c r="D745" s="44" t="s">
        <v>7</v>
      </c>
      <c r="E745" s="44">
        <v>1</v>
      </c>
    </row>
    <row r="746" spans="1:5">
      <c r="A746" s="43" t="s">
        <v>3538</v>
      </c>
      <c r="B746" s="43" t="s">
        <v>4341</v>
      </c>
      <c r="C746" s="42" t="s">
        <v>96</v>
      </c>
      <c r="D746" s="44" t="s">
        <v>7</v>
      </c>
      <c r="E746" s="44">
        <v>1</v>
      </c>
    </row>
    <row r="747" spans="1:5">
      <c r="A747" s="43" t="s">
        <v>3538</v>
      </c>
      <c r="B747" s="43" t="s">
        <v>4342</v>
      </c>
      <c r="C747" s="42" t="s">
        <v>96</v>
      </c>
      <c r="D747" s="44" t="s">
        <v>7</v>
      </c>
      <c r="E747" s="44">
        <v>1</v>
      </c>
    </row>
    <row r="748" spans="1:5">
      <c r="A748" s="43" t="s">
        <v>3538</v>
      </c>
      <c r="B748" s="43" t="s">
        <v>4343</v>
      </c>
      <c r="C748" s="42" t="s">
        <v>96</v>
      </c>
      <c r="D748" s="44" t="s">
        <v>7</v>
      </c>
      <c r="E748" s="44">
        <v>1</v>
      </c>
    </row>
    <row r="749" spans="1:5">
      <c r="A749" s="43" t="s">
        <v>3538</v>
      </c>
      <c r="B749" s="43" t="s">
        <v>4344</v>
      </c>
      <c r="C749" s="42" t="s">
        <v>96</v>
      </c>
      <c r="D749" s="44" t="s">
        <v>7</v>
      </c>
      <c r="E749" s="44">
        <v>1</v>
      </c>
    </row>
    <row r="750" spans="1:5">
      <c r="A750" s="43" t="s">
        <v>3538</v>
      </c>
      <c r="B750" s="43" t="s">
        <v>4345</v>
      </c>
      <c r="C750" s="42" t="s">
        <v>96</v>
      </c>
      <c r="D750" s="44" t="s">
        <v>7</v>
      </c>
      <c r="E750" s="44">
        <v>1</v>
      </c>
    </row>
    <row r="751" spans="1:5">
      <c r="A751" s="43" t="s">
        <v>3538</v>
      </c>
      <c r="B751" s="43" t="s">
        <v>4346</v>
      </c>
      <c r="C751" s="42" t="s">
        <v>96</v>
      </c>
      <c r="D751" s="44" t="s">
        <v>7</v>
      </c>
      <c r="E751" s="44">
        <v>1</v>
      </c>
    </row>
    <row r="752" spans="1:5">
      <c r="A752" s="43" t="s">
        <v>3538</v>
      </c>
      <c r="B752" s="43" t="s">
        <v>4347</v>
      </c>
      <c r="C752" s="42" t="s">
        <v>96</v>
      </c>
      <c r="D752" s="44" t="s">
        <v>7</v>
      </c>
      <c r="E752" s="44">
        <v>1</v>
      </c>
    </row>
    <row r="753" spans="1:5">
      <c r="A753" s="43" t="s">
        <v>3538</v>
      </c>
      <c r="B753" s="43" t="s">
        <v>4348</v>
      </c>
      <c r="C753" s="42" t="s">
        <v>96</v>
      </c>
      <c r="D753" s="44" t="s">
        <v>7</v>
      </c>
      <c r="E753" s="44">
        <v>1</v>
      </c>
    </row>
    <row r="754" spans="1:5">
      <c r="A754" s="43" t="s">
        <v>3538</v>
      </c>
      <c r="B754" s="43" t="s">
        <v>4349</v>
      </c>
      <c r="C754" s="42" t="s">
        <v>96</v>
      </c>
      <c r="D754" s="44" t="s">
        <v>7</v>
      </c>
      <c r="E754" s="44">
        <v>1</v>
      </c>
    </row>
    <row r="755" spans="1:5">
      <c r="A755" s="43" t="s">
        <v>3538</v>
      </c>
      <c r="B755" s="43" t="s">
        <v>4350</v>
      </c>
      <c r="C755" s="42" t="s">
        <v>96</v>
      </c>
      <c r="D755" s="44" t="s">
        <v>7</v>
      </c>
      <c r="E755" s="44">
        <v>1</v>
      </c>
    </row>
    <row r="756" spans="1:5">
      <c r="A756" s="43" t="s">
        <v>3538</v>
      </c>
      <c r="B756" s="43" t="s">
        <v>4351</v>
      </c>
      <c r="C756" s="42" t="s">
        <v>96</v>
      </c>
      <c r="D756" s="44" t="s">
        <v>7</v>
      </c>
      <c r="E756" s="44">
        <v>1</v>
      </c>
    </row>
    <row r="757" spans="1:5">
      <c r="A757" s="43" t="s">
        <v>3538</v>
      </c>
      <c r="B757" s="43" t="s">
        <v>4352</v>
      </c>
      <c r="C757" s="42" t="s">
        <v>96</v>
      </c>
      <c r="D757" s="44" t="s">
        <v>7</v>
      </c>
      <c r="E757" s="44">
        <v>1</v>
      </c>
    </row>
    <row r="758" spans="1:5">
      <c r="A758" s="43" t="s">
        <v>3538</v>
      </c>
      <c r="B758" s="43" t="s">
        <v>4353</v>
      </c>
      <c r="C758" s="42" t="s">
        <v>96</v>
      </c>
      <c r="D758" s="44" t="s">
        <v>7</v>
      </c>
      <c r="E758" s="44">
        <v>1</v>
      </c>
    </row>
    <row r="759" spans="1:5">
      <c r="A759" s="43" t="s">
        <v>3538</v>
      </c>
      <c r="B759" s="43" t="s">
        <v>4354</v>
      </c>
      <c r="C759" s="42" t="s">
        <v>96</v>
      </c>
      <c r="D759" s="44" t="s">
        <v>7</v>
      </c>
      <c r="E759" s="44">
        <v>1</v>
      </c>
    </row>
    <row r="760" spans="1:5">
      <c r="A760" s="43" t="s">
        <v>3538</v>
      </c>
      <c r="B760" s="43" t="s">
        <v>4355</v>
      </c>
      <c r="C760" s="42" t="s">
        <v>96</v>
      </c>
      <c r="D760" s="44" t="s">
        <v>7</v>
      </c>
      <c r="E760" s="44">
        <v>1</v>
      </c>
    </row>
    <row r="761" spans="1:5">
      <c r="A761" s="43" t="s">
        <v>3538</v>
      </c>
      <c r="B761" s="43" t="s">
        <v>4356</v>
      </c>
      <c r="C761" s="42" t="s">
        <v>96</v>
      </c>
      <c r="D761" s="44" t="s">
        <v>7</v>
      </c>
      <c r="E761" s="44">
        <v>1</v>
      </c>
    </row>
    <row r="762" spans="1:5">
      <c r="A762" s="43" t="s">
        <v>3538</v>
      </c>
      <c r="B762" s="43" t="s">
        <v>4357</v>
      </c>
      <c r="C762" s="42" t="s">
        <v>96</v>
      </c>
      <c r="D762" s="44" t="s">
        <v>7</v>
      </c>
      <c r="E762" s="44">
        <v>1</v>
      </c>
    </row>
    <row r="763" spans="1:5">
      <c r="A763" s="43" t="s">
        <v>3538</v>
      </c>
      <c r="B763" s="43" t="s">
        <v>4358</v>
      </c>
      <c r="C763" s="42" t="s">
        <v>96</v>
      </c>
      <c r="D763" s="44" t="s">
        <v>7</v>
      </c>
      <c r="E763" s="44">
        <v>1</v>
      </c>
    </row>
    <row r="764" spans="1:5">
      <c r="A764" s="43" t="s">
        <v>3538</v>
      </c>
      <c r="B764" s="43" t="s">
        <v>4359</v>
      </c>
      <c r="C764" s="42" t="s">
        <v>364</v>
      </c>
      <c r="D764" s="44" t="s">
        <v>7</v>
      </c>
      <c r="E764" s="44">
        <v>1</v>
      </c>
    </row>
    <row r="765" spans="1:5">
      <c r="A765" s="43" t="s">
        <v>3538</v>
      </c>
      <c r="B765" s="43" t="s">
        <v>4360</v>
      </c>
      <c r="C765" s="42" t="s">
        <v>364</v>
      </c>
      <c r="D765" s="44" t="s">
        <v>7</v>
      </c>
      <c r="E765" s="44">
        <v>1</v>
      </c>
    </row>
    <row r="766" spans="1:5">
      <c r="A766" s="43" t="s">
        <v>3538</v>
      </c>
      <c r="B766" s="43" t="s">
        <v>4361</v>
      </c>
      <c r="C766" s="42" t="s">
        <v>364</v>
      </c>
      <c r="D766" s="44" t="s">
        <v>7</v>
      </c>
      <c r="E766" s="44">
        <v>1</v>
      </c>
    </row>
    <row r="767" spans="1:5">
      <c r="A767" s="43" t="s">
        <v>3538</v>
      </c>
      <c r="B767" s="43" t="s">
        <v>4362</v>
      </c>
      <c r="C767" s="42" t="s">
        <v>1671</v>
      </c>
      <c r="D767" s="44" t="s">
        <v>7</v>
      </c>
      <c r="E767" s="44">
        <v>1</v>
      </c>
    </row>
    <row r="768" spans="1:5">
      <c r="A768" s="43" t="s">
        <v>3538</v>
      </c>
      <c r="B768" s="43" t="s">
        <v>4363</v>
      </c>
      <c r="C768" s="42" t="s">
        <v>4364</v>
      </c>
      <c r="D768" s="44" t="s">
        <v>7</v>
      </c>
      <c r="E768" s="44">
        <v>1</v>
      </c>
    </row>
    <row r="769" spans="1:5">
      <c r="A769" s="43" t="s">
        <v>3538</v>
      </c>
      <c r="B769" s="43">
        <v>20171350</v>
      </c>
      <c r="C769" s="42" t="s">
        <v>96</v>
      </c>
      <c r="D769" s="44" t="s">
        <v>7</v>
      </c>
      <c r="E769" s="44">
        <v>1</v>
      </c>
    </row>
    <row r="770" spans="1:5">
      <c r="A770" s="43" t="s">
        <v>3538</v>
      </c>
      <c r="B770" s="43">
        <v>20171344</v>
      </c>
      <c r="C770" s="42" t="s">
        <v>96</v>
      </c>
      <c r="D770" s="44" t="s">
        <v>7</v>
      </c>
      <c r="E770" s="44">
        <v>1</v>
      </c>
    </row>
    <row r="771" spans="1:5">
      <c r="A771" s="43" t="s">
        <v>3538</v>
      </c>
      <c r="B771" s="43">
        <v>20151514</v>
      </c>
      <c r="C771" s="42" t="s">
        <v>362</v>
      </c>
      <c r="D771" s="44" t="s">
        <v>7</v>
      </c>
      <c r="E771" s="44">
        <v>1</v>
      </c>
    </row>
    <row r="772" spans="1:5">
      <c r="A772" s="43" t="s">
        <v>3538</v>
      </c>
      <c r="B772" s="43" t="s">
        <v>4365</v>
      </c>
      <c r="C772" s="42" t="s">
        <v>96</v>
      </c>
      <c r="D772" s="44" t="s">
        <v>7</v>
      </c>
      <c r="E772" s="44">
        <v>1</v>
      </c>
    </row>
    <row r="773" spans="1:5">
      <c r="A773" s="43" t="s">
        <v>3538</v>
      </c>
      <c r="B773" s="43" t="s">
        <v>4366</v>
      </c>
      <c r="C773" s="42" t="s">
        <v>96</v>
      </c>
      <c r="D773" s="44" t="s">
        <v>7</v>
      </c>
      <c r="E773" s="44">
        <v>1</v>
      </c>
    </row>
    <row r="774" spans="1:5">
      <c r="A774" s="43" t="s">
        <v>3538</v>
      </c>
      <c r="B774" s="43" t="s">
        <v>4367</v>
      </c>
      <c r="C774" s="42" t="s">
        <v>96</v>
      </c>
      <c r="D774" s="44" t="s">
        <v>7</v>
      </c>
      <c r="E774" s="44">
        <v>1</v>
      </c>
    </row>
    <row r="775" spans="1:5">
      <c r="A775" s="43" t="s">
        <v>3538</v>
      </c>
      <c r="B775" s="43" t="s">
        <v>4368</v>
      </c>
      <c r="C775" s="42" t="s">
        <v>96</v>
      </c>
      <c r="D775" s="44" t="s">
        <v>7</v>
      </c>
      <c r="E775" s="44">
        <v>1</v>
      </c>
    </row>
    <row r="776" spans="1:5">
      <c r="A776" s="43" t="s">
        <v>3538</v>
      </c>
      <c r="B776" s="43" t="s">
        <v>4369</v>
      </c>
      <c r="C776" s="42" t="s">
        <v>96</v>
      </c>
      <c r="D776" s="44" t="s">
        <v>7</v>
      </c>
      <c r="E776" s="44">
        <v>1</v>
      </c>
    </row>
    <row r="777" spans="1:5">
      <c r="A777" s="43" t="s">
        <v>3538</v>
      </c>
      <c r="B777" s="43" t="s">
        <v>4370</v>
      </c>
      <c r="C777" s="42" t="s">
        <v>96</v>
      </c>
      <c r="D777" s="44" t="s">
        <v>7</v>
      </c>
      <c r="E777" s="44">
        <v>1</v>
      </c>
    </row>
    <row r="778" spans="1:5">
      <c r="A778" s="43" t="s">
        <v>3538</v>
      </c>
      <c r="B778" s="43" t="s">
        <v>4371</v>
      </c>
      <c r="C778" s="42" t="s">
        <v>96</v>
      </c>
      <c r="D778" s="44" t="s">
        <v>7</v>
      </c>
      <c r="E778" s="44">
        <v>1</v>
      </c>
    </row>
    <row r="779" spans="1:5">
      <c r="A779" s="43" t="s">
        <v>3538</v>
      </c>
      <c r="B779" s="43" t="s">
        <v>4372</v>
      </c>
      <c r="C779" s="42" t="s">
        <v>96</v>
      </c>
      <c r="D779" s="44" t="s">
        <v>7</v>
      </c>
      <c r="E779" s="44">
        <v>1</v>
      </c>
    </row>
    <row r="780" spans="1:5">
      <c r="A780" s="43" t="s">
        <v>3538</v>
      </c>
      <c r="B780" s="43" t="s">
        <v>4373</v>
      </c>
      <c r="C780" s="42" t="s">
        <v>96</v>
      </c>
      <c r="D780" s="44" t="s">
        <v>7</v>
      </c>
      <c r="E780" s="44">
        <v>1</v>
      </c>
    </row>
    <row r="781" spans="1:5">
      <c r="A781" s="43" t="s">
        <v>3538</v>
      </c>
      <c r="B781" s="43" t="s">
        <v>4374</v>
      </c>
      <c r="C781" s="42" t="s">
        <v>96</v>
      </c>
      <c r="D781" s="44" t="s">
        <v>7</v>
      </c>
      <c r="E781" s="44">
        <v>1</v>
      </c>
    </row>
    <row r="782" spans="1:5">
      <c r="A782" s="43" t="s">
        <v>3538</v>
      </c>
      <c r="B782" s="43" t="s">
        <v>4375</v>
      </c>
      <c r="C782" s="42" t="s">
        <v>96</v>
      </c>
      <c r="D782" s="44" t="s">
        <v>7</v>
      </c>
      <c r="E782" s="44">
        <v>1</v>
      </c>
    </row>
    <row r="783" spans="1:5">
      <c r="A783" s="43" t="s">
        <v>3538</v>
      </c>
      <c r="B783" s="43" t="s">
        <v>4376</v>
      </c>
      <c r="C783" s="42" t="s">
        <v>96</v>
      </c>
      <c r="D783" s="44" t="s">
        <v>7</v>
      </c>
      <c r="E783" s="44">
        <v>1</v>
      </c>
    </row>
    <row r="784" spans="1:5">
      <c r="A784" s="43" t="s">
        <v>3538</v>
      </c>
      <c r="B784" s="43" t="s">
        <v>4377</v>
      </c>
      <c r="C784" s="42" t="s">
        <v>96</v>
      </c>
      <c r="D784" s="44" t="s">
        <v>7</v>
      </c>
      <c r="E784" s="44">
        <v>1</v>
      </c>
    </row>
    <row r="785" spans="1:5">
      <c r="A785" s="43" t="s">
        <v>3538</v>
      </c>
      <c r="B785" s="43" t="s">
        <v>4378</v>
      </c>
      <c r="C785" s="42" t="s">
        <v>96</v>
      </c>
      <c r="D785" s="44" t="s">
        <v>7</v>
      </c>
      <c r="E785" s="44">
        <v>1</v>
      </c>
    </row>
    <row r="786" spans="1:5">
      <c r="A786" s="43" t="s">
        <v>3538</v>
      </c>
      <c r="B786" s="43" t="s">
        <v>4379</v>
      </c>
      <c r="C786" s="42" t="s">
        <v>96</v>
      </c>
      <c r="D786" s="44" t="s">
        <v>7</v>
      </c>
      <c r="E786" s="44">
        <v>1</v>
      </c>
    </row>
    <row r="787" spans="1:5">
      <c r="A787" s="43" t="s">
        <v>3538</v>
      </c>
      <c r="B787" s="43" t="s">
        <v>4380</v>
      </c>
      <c r="C787" s="42" t="s">
        <v>96</v>
      </c>
      <c r="D787" s="44" t="s">
        <v>7</v>
      </c>
      <c r="E787" s="44">
        <v>1</v>
      </c>
    </row>
    <row r="788" spans="1:5">
      <c r="A788" s="43" t="s">
        <v>3538</v>
      </c>
      <c r="B788" s="43" t="s">
        <v>4381</v>
      </c>
      <c r="C788" s="42" t="s">
        <v>96</v>
      </c>
      <c r="D788" s="44" t="s">
        <v>7</v>
      </c>
      <c r="E788" s="44">
        <v>1</v>
      </c>
    </row>
    <row r="789" spans="1:5">
      <c r="A789" s="43" t="s">
        <v>3538</v>
      </c>
      <c r="B789" s="43" t="s">
        <v>4382</v>
      </c>
      <c r="C789" s="42" t="s">
        <v>96</v>
      </c>
      <c r="D789" s="44" t="s">
        <v>7</v>
      </c>
      <c r="E789" s="44">
        <v>1</v>
      </c>
    </row>
    <row r="790" spans="1:5">
      <c r="A790" s="43" t="s">
        <v>3538</v>
      </c>
      <c r="B790" s="43" t="s">
        <v>4383</v>
      </c>
      <c r="C790" s="42" t="s">
        <v>4090</v>
      </c>
      <c r="D790" s="44" t="s">
        <v>7</v>
      </c>
      <c r="E790" s="44">
        <v>1</v>
      </c>
    </row>
    <row r="791" spans="1:5">
      <c r="A791" s="43" t="s">
        <v>3538</v>
      </c>
      <c r="B791" s="43" t="s">
        <v>4384</v>
      </c>
      <c r="C791" s="42" t="s">
        <v>4090</v>
      </c>
      <c r="D791" s="44" t="s">
        <v>7</v>
      </c>
      <c r="E791" s="44">
        <v>1</v>
      </c>
    </row>
    <row r="792" spans="1:5">
      <c r="A792" s="43" t="s">
        <v>3538</v>
      </c>
      <c r="B792" s="43" t="s">
        <v>4385</v>
      </c>
      <c r="C792" s="42" t="s">
        <v>96</v>
      </c>
      <c r="D792" s="44" t="s">
        <v>7</v>
      </c>
      <c r="E792" s="44">
        <v>1</v>
      </c>
    </row>
    <row r="793" spans="1:5">
      <c r="A793" s="43" t="s">
        <v>3538</v>
      </c>
      <c r="B793" s="43" t="s">
        <v>4386</v>
      </c>
      <c r="C793" s="42" t="s">
        <v>94</v>
      </c>
      <c r="D793" s="44" t="s">
        <v>7</v>
      </c>
      <c r="E793" s="44">
        <v>1</v>
      </c>
    </row>
    <row r="794" spans="1:5">
      <c r="A794" s="43" t="s">
        <v>3538</v>
      </c>
      <c r="B794" s="43" t="s">
        <v>4387</v>
      </c>
      <c r="C794" s="42" t="s">
        <v>3212</v>
      </c>
      <c r="D794" s="44" t="s">
        <v>7</v>
      </c>
      <c r="E794" s="44">
        <v>1</v>
      </c>
    </row>
    <row r="795" spans="1:5">
      <c r="A795" s="43" t="s">
        <v>3538</v>
      </c>
      <c r="B795" s="43" t="s">
        <v>4388</v>
      </c>
      <c r="C795" s="42" t="s">
        <v>2478</v>
      </c>
      <c r="D795" s="44" t="s">
        <v>7</v>
      </c>
      <c r="E795" s="44">
        <v>1</v>
      </c>
    </row>
    <row r="796" spans="1:5">
      <c r="A796" s="43" t="s">
        <v>3538</v>
      </c>
      <c r="B796" s="43" t="s">
        <v>4389</v>
      </c>
      <c r="C796" s="42" t="s">
        <v>1148</v>
      </c>
      <c r="D796" s="44" t="s">
        <v>7</v>
      </c>
      <c r="E796" s="44">
        <v>1</v>
      </c>
    </row>
    <row r="797" spans="1:5">
      <c r="A797" s="43" t="s">
        <v>3538</v>
      </c>
      <c r="B797" s="43" t="s">
        <v>4390</v>
      </c>
      <c r="C797" s="42" t="s">
        <v>1611</v>
      </c>
      <c r="D797" s="44" t="s">
        <v>7</v>
      </c>
      <c r="E797" s="44">
        <v>1</v>
      </c>
    </row>
    <row r="798" spans="1:5">
      <c r="A798" s="43" t="s">
        <v>3538</v>
      </c>
      <c r="B798" s="43" t="s">
        <v>4391</v>
      </c>
      <c r="C798" s="42" t="s">
        <v>1143</v>
      </c>
      <c r="D798" s="44" t="s">
        <v>7</v>
      </c>
      <c r="E798" s="44">
        <v>1</v>
      </c>
    </row>
    <row r="799" spans="1:5">
      <c r="A799" s="43" t="s">
        <v>3538</v>
      </c>
      <c r="B799" s="43" t="s">
        <v>4392</v>
      </c>
      <c r="C799" s="42" t="s">
        <v>4152</v>
      </c>
      <c r="D799" s="44" t="s">
        <v>7</v>
      </c>
      <c r="E799" s="44">
        <v>1</v>
      </c>
    </row>
    <row r="800" spans="1:5">
      <c r="A800" s="43" t="s">
        <v>3538</v>
      </c>
      <c r="B800" s="43" t="s">
        <v>4393</v>
      </c>
      <c r="C800" s="42" t="s">
        <v>49</v>
      </c>
      <c r="D800" s="44" t="s">
        <v>7</v>
      </c>
      <c r="E800" s="44">
        <v>1</v>
      </c>
    </row>
    <row r="801" spans="1:5">
      <c r="A801" s="43" t="s">
        <v>3538</v>
      </c>
      <c r="B801" s="43" t="s">
        <v>4394</v>
      </c>
      <c r="C801" s="42" t="s">
        <v>224</v>
      </c>
      <c r="D801" s="44" t="s">
        <v>7</v>
      </c>
      <c r="E801" s="44">
        <v>1</v>
      </c>
    </row>
    <row r="802" spans="1:5">
      <c r="A802" s="43" t="s">
        <v>3538</v>
      </c>
      <c r="B802" s="43" t="s">
        <v>4395</v>
      </c>
      <c r="C802" s="42" t="s">
        <v>4396</v>
      </c>
      <c r="D802" s="44" t="s">
        <v>7</v>
      </c>
      <c r="E802" s="44">
        <v>1</v>
      </c>
    </row>
    <row r="803" spans="1:5">
      <c r="A803" s="43" t="s">
        <v>3538</v>
      </c>
      <c r="B803" s="43" t="s">
        <v>4397</v>
      </c>
      <c r="C803" s="42" t="s">
        <v>220</v>
      </c>
      <c r="D803" s="44" t="s">
        <v>7</v>
      </c>
      <c r="E803" s="44">
        <v>1</v>
      </c>
    </row>
    <row r="804" spans="1:5">
      <c r="A804" s="43" t="s">
        <v>3538</v>
      </c>
      <c r="B804" s="43" t="s">
        <v>4398</v>
      </c>
      <c r="C804" s="42" t="s">
        <v>4399</v>
      </c>
      <c r="D804" s="44" t="s">
        <v>7</v>
      </c>
      <c r="E804" s="44">
        <v>1</v>
      </c>
    </row>
    <row r="805" spans="1:5">
      <c r="A805" s="43" t="s">
        <v>3538</v>
      </c>
      <c r="B805" s="43" t="s">
        <v>4400</v>
      </c>
      <c r="C805" s="42" t="s">
        <v>4401</v>
      </c>
      <c r="D805" s="44" t="s">
        <v>7</v>
      </c>
      <c r="E805" s="44">
        <v>1</v>
      </c>
    </row>
    <row r="806" spans="1:5">
      <c r="A806" s="43" t="s">
        <v>3538</v>
      </c>
      <c r="B806" s="43" t="s">
        <v>4402</v>
      </c>
      <c r="C806" s="42" t="s">
        <v>94</v>
      </c>
      <c r="D806" s="44" t="s">
        <v>7</v>
      </c>
      <c r="E806" s="44">
        <v>1</v>
      </c>
    </row>
    <row r="807" spans="1:5">
      <c r="A807" s="43" t="s">
        <v>3538</v>
      </c>
      <c r="B807" s="43" t="s">
        <v>4403</v>
      </c>
      <c r="C807" s="42" t="s">
        <v>4404</v>
      </c>
      <c r="D807" s="44" t="s">
        <v>7</v>
      </c>
      <c r="E807" s="44">
        <v>1</v>
      </c>
    </row>
    <row r="808" spans="1:5">
      <c r="A808" s="43" t="s">
        <v>3538</v>
      </c>
      <c r="B808" s="43" t="s">
        <v>4405</v>
      </c>
      <c r="C808" s="42" t="s">
        <v>4406</v>
      </c>
      <c r="D808" s="44" t="s">
        <v>7</v>
      </c>
      <c r="E808" s="44">
        <v>1</v>
      </c>
    </row>
    <row r="809" spans="1:5">
      <c r="A809" s="43" t="s">
        <v>3538</v>
      </c>
      <c r="B809" s="43" t="s">
        <v>4407</v>
      </c>
      <c r="C809" s="42" t="s">
        <v>4408</v>
      </c>
      <c r="D809" s="44" t="s">
        <v>7</v>
      </c>
      <c r="E809" s="44">
        <v>1</v>
      </c>
    </row>
    <row r="810" spans="1:5">
      <c r="A810" s="43" t="s">
        <v>3538</v>
      </c>
      <c r="B810" s="43" t="s">
        <v>4409</v>
      </c>
      <c r="C810" s="42" t="s">
        <v>1781</v>
      </c>
      <c r="D810" s="44" t="s">
        <v>7</v>
      </c>
      <c r="E810" s="44">
        <v>1</v>
      </c>
    </row>
    <row r="811" spans="1:5">
      <c r="A811" s="43" t="s">
        <v>3538</v>
      </c>
      <c r="B811" s="43">
        <v>20180623</v>
      </c>
      <c r="C811" s="42" t="s">
        <v>96</v>
      </c>
      <c r="D811" s="44" t="s">
        <v>7</v>
      </c>
      <c r="E811" s="44">
        <v>1</v>
      </c>
    </row>
    <row r="812" spans="1:5">
      <c r="A812" s="43" t="s">
        <v>3538</v>
      </c>
      <c r="B812" s="43" t="s">
        <v>4410</v>
      </c>
      <c r="C812" s="42" t="s">
        <v>96</v>
      </c>
      <c r="D812" s="44" t="s">
        <v>7</v>
      </c>
      <c r="E812" s="44">
        <v>1</v>
      </c>
    </row>
    <row r="813" spans="1:5">
      <c r="A813" s="43" t="s">
        <v>3538</v>
      </c>
      <c r="B813" s="43" t="s">
        <v>4411</v>
      </c>
      <c r="C813" s="42" t="s">
        <v>96</v>
      </c>
      <c r="D813" s="44" t="s">
        <v>7</v>
      </c>
      <c r="E813" s="44">
        <v>1</v>
      </c>
    </row>
    <row r="814" spans="1:5">
      <c r="A814" s="43" t="s">
        <v>3538</v>
      </c>
      <c r="B814" s="43" t="s">
        <v>4412</v>
      </c>
      <c r="C814" s="42" t="s">
        <v>4090</v>
      </c>
      <c r="D814" s="44" t="s">
        <v>7</v>
      </c>
      <c r="E814" s="44">
        <v>1</v>
      </c>
    </row>
    <row r="815" spans="1:5">
      <c r="A815" s="43" t="s">
        <v>3538</v>
      </c>
      <c r="B815" s="43" t="s">
        <v>4413</v>
      </c>
      <c r="C815" s="42" t="s">
        <v>4090</v>
      </c>
      <c r="D815" s="44" t="s">
        <v>7</v>
      </c>
      <c r="E815" s="44">
        <v>1</v>
      </c>
    </row>
    <row r="816" spans="1:5">
      <c r="A816" s="43" t="s">
        <v>3538</v>
      </c>
      <c r="B816" s="43" t="s">
        <v>4414</v>
      </c>
      <c r="C816" s="42" t="s">
        <v>96</v>
      </c>
      <c r="D816" s="44" t="s">
        <v>7</v>
      </c>
      <c r="E816" s="44">
        <v>1</v>
      </c>
    </row>
    <row r="817" spans="1:5">
      <c r="A817" s="43" t="s">
        <v>3538</v>
      </c>
      <c r="B817" s="43" t="s">
        <v>4415</v>
      </c>
      <c r="C817" s="42" t="s">
        <v>96</v>
      </c>
      <c r="D817" s="44" t="s">
        <v>7</v>
      </c>
      <c r="E817" s="44">
        <v>1</v>
      </c>
    </row>
    <row r="818" spans="1:5">
      <c r="A818" s="43" t="s">
        <v>3538</v>
      </c>
      <c r="B818" s="43" t="s">
        <v>4416</v>
      </c>
      <c r="C818" s="42" t="s">
        <v>96</v>
      </c>
      <c r="D818" s="44" t="s">
        <v>7</v>
      </c>
      <c r="E818" s="44">
        <v>1</v>
      </c>
    </row>
    <row r="819" spans="1:5">
      <c r="A819" s="43" t="s">
        <v>3538</v>
      </c>
      <c r="B819" s="43" t="s">
        <v>4417</v>
      </c>
      <c r="C819" s="42" t="s">
        <v>96</v>
      </c>
      <c r="D819" s="44" t="s">
        <v>7</v>
      </c>
      <c r="E819" s="44">
        <v>1</v>
      </c>
    </row>
    <row r="820" spans="1:5">
      <c r="A820" s="43" t="s">
        <v>3538</v>
      </c>
      <c r="B820" s="43" t="s">
        <v>4418</v>
      </c>
      <c r="C820" s="42" t="s">
        <v>96</v>
      </c>
      <c r="D820" s="44" t="s">
        <v>7</v>
      </c>
      <c r="E820" s="44">
        <v>1</v>
      </c>
    </row>
    <row r="821" spans="1:5">
      <c r="A821" s="43" t="s">
        <v>3538</v>
      </c>
      <c r="B821" s="43" t="s">
        <v>4419</v>
      </c>
      <c r="C821" s="42" t="s">
        <v>96</v>
      </c>
      <c r="D821" s="44" t="s">
        <v>7</v>
      </c>
      <c r="E821" s="44">
        <v>1</v>
      </c>
    </row>
    <row r="822" spans="1:5">
      <c r="A822" s="43" t="s">
        <v>3538</v>
      </c>
      <c r="B822" s="43" t="s">
        <v>4420</v>
      </c>
      <c r="C822" s="42" t="s">
        <v>96</v>
      </c>
      <c r="D822" s="44" t="s">
        <v>7</v>
      </c>
      <c r="E822" s="44">
        <v>1</v>
      </c>
    </row>
    <row r="823" spans="1:5">
      <c r="A823" s="43" t="s">
        <v>3538</v>
      </c>
      <c r="B823" s="43" t="s">
        <v>4421</v>
      </c>
      <c r="C823" s="42" t="s">
        <v>96</v>
      </c>
      <c r="D823" s="44" t="s">
        <v>7</v>
      </c>
      <c r="E823" s="44">
        <v>1</v>
      </c>
    </row>
    <row r="824" spans="1:5">
      <c r="A824" s="43" t="s">
        <v>3538</v>
      </c>
      <c r="B824" s="43" t="s">
        <v>4422</v>
      </c>
      <c r="C824" s="42" t="s">
        <v>96</v>
      </c>
      <c r="D824" s="44" t="s">
        <v>7</v>
      </c>
      <c r="E824" s="44">
        <v>1</v>
      </c>
    </row>
    <row r="825" spans="1:5">
      <c r="A825" s="43" t="s">
        <v>3538</v>
      </c>
      <c r="B825" s="43" t="s">
        <v>4423</v>
      </c>
      <c r="C825" s="42" t="s">
        <v>96</v>
      </c>
      <c r="D825" s="44" t="s">
        <v>7</v>
      </c>
      <c r="E825" s="44">
        <v>1</v>
      </c>
    </row>
    <row r="826" spans="1:5">
      <c r="A826" s="43" t="s">
        <v>3538</v>
      </c>
      <c r="B826" s="43" t="s">
        <v>4424</v>
      </c>
      <c r="C826" s="42" t="s">
        <v>96</v>
      </c>
      <c r="D826" s="44" t="s">
        <v>7</v>
      </c>
      <c r="E826" s="44">
        <v>1</v>
      </c>
    </row>
    <row r="827" spans="1:5">
      <c r="A827" s="43" t="s">
        <v>3538</v>
      </c>
      <c r="B827" s="43" t="s">
        <v>4425</v>
      </c>
      <c r="C827" s="42" t="s">
        <v>96</v>
      </c>
      <c r="D827" s="44" t="s">
        <v>7</v>
      </c>
      <c r="E827" s="44">
        <v>1</v>
      </c>
    </row>
    <row r="828" spans="1:5">
      <c r="A828" s="43" t="s">
        <v>3538</v>
      </c>
      <c r="B828" s="43" t="s">
        <v>4426</v>
      </c>
      <c r="C828" s="42" t="s">
        <v>96</v>
      </c>
      <c r="D828" s="44" t="s">
        <v>7</v>
      </c>
      <c r="E828" s="44">
        <v>1</v>
      </c>
    </row>
    <row r="829" spans="1:5">
      <c r="A829" s="43" t="s">
        <v>3538</v>
      </c>
      <c r="B829" s="43" t="s">
        <v>4427</v>
      </c>
      <c r="C829" s="42" t="s">
        <v>96</v>
      </c>
      <c r="D829" s="44" t="s">
        <v>7</v>
      </c>
      <c r="E829" s="44">
        <v>1</v>
      </c>
    </row>
    <row r="830" spans="1:5">
      <c r="A830" s="43" t="s">
        <v>3538</v>
      </c>
      <c r="B830" s="43" t="s">
        <v>4428</v>
      </c>
      <c r="C830" s="42" t="s">
        <v>96</v>
      </c>
      <c r="D830" s="44" t="s">
        <v>7</v>
      </c>
      <c r="E830" s="44">
        <v>1</v>
      </c>
    </row>
    <row r="831" spans="1:5">
      <c r="A831" s="43" t="s">
        <v>3538</v>
      </c>
      <c r="B831" s="43" t="s">
        <v>4429</v>
      </c>
      <c r="C831" s="42" t="s">
        <v>96</v>
      </c>
      <c r="D831" s="44" t="s">
        <v>7</v>
      </c>
      <c r="E831" s="44">
        <v>1</v>
      </c>
    </row>
    <row r="832" spans="1:5">
      <c r="A832" s="43" t="s">
        <v>3538</v>
      </c>
      <c r="B832" s="43" t="s">
        <v>4430</v>
      </c>
      <c r="C832" s="42" t="s">
        <v>96</v>
      </c>
      <c r="D832" s="44" t="s">
        <v>7</v>
      </c>
      <c r="E832" s="44">
        <v>1</v>
      </c>
    </row>
    <row r="833" spans="1:5">
      <c r="A833" s="43" t="s">
        <v>3538</v>
      </c>
      <c r="B833" s="43" t="s">
        <v>4431</v>
      </c>
      <c r="C833" s="42" t="s">
        <v>96</v>
      </c>
      <c r="D833" s="44" t="s">
        <v>7</v>
      </c>
      <c r="E833" s="44">
        <v>1</v>
      </c>
    </row>
    <row r="834" spans="1:5">
      <c r="A834" s="43" t="s">
        <v>3538</v>
      </c>
      <c r="B834" s="43" t="s">
        <v>4432</v>
      </c>
      <c r="C834" s="42" t="s">
        <v>96</v>
      </c>
      <c r="D834" s="44" t="s">
        <v>7</v>
      </c>
      <c r="E834" s="44">
        <v>1</v>
      </c>
    </row>
    <row r="835" spans="1:5">
      <c r="A835" s="43" t="s">
        <v>3538</v>
      </c>
      <c r="B835" s="43" t="s">
        <v>4433</v>
      </c>
      <c r="C835" s="42" t="s">
        <v>96</v>
      </c>
      <c r="D835" s="44" t="s">
        <v>7</v>
      </c>
      <c r="E835" s="44">
        <v>1</v>
      </c>
    </row>
    <row r="836" spans="1:5">
      <c r="A836" s="43" t="s">
        <v>3538</v>
      </c>
      <c r="B836" s="43" t="s">
        <v>4434</v>
      </c>
      <c r="C836" s="42" t="s">
        <v>3212</v>
      </c>
      <c r="D836" s="44" t="s">
        <v>7</v>
      </c>
      <c r="E836" s="44">
        <v>1</v>
      </c>
    </row>
    <row r="837" spans="1:5">
      <c r="A837" s="43" t="s">
        <v>3538</v>
      </c>
      <c r="B837" s="43" t="s">
        <v>4435</v>
      </c>
      <c r="C837" s="42" t="s">
        <v>2478</v>
      </c>
      <c r="D837" s="44" t="s">
        <v>7</v>
      </c>
      <c r="E837" s="44">
        <v>1</v>
      </c>
    </row>
    <row r="838" spans="1:5">
      <c r="A838" s="43" t="s">
        <v>3538</v>
      </c>
      <c r="B838" s="43" t="s">
        <v>4436</v>
      </c>
      <c r="C838" s="42" t="s">
        <v>1148</v>
      </c>
      <c r="D838" s="44" t="s">
        <v>7</v>
      </c>
      <c r="E838" s="44">
        <v>1</v>
      </c>
    </row>
    <row r="839" spans="1:5">
      <c r="A839" s="43" t="s">
        <v>3538</v>
      </c>
      <c r="B839" s="43" t="s">
        <v>4437</v>
      </c>
      <c r="C839" s="42" t="s">
        <v>1611</v>
      </c>
      <c r="D839" s="44" t="s">
        <v>7</v>
      </c>
      <c r="E839" s="44">
        <v>1</v>
      </c>
    </row>
    <row r="840" spans="1:5">
      <c r="A840" s="43" t="s">
        <v>3538</v>
      </c>
      <c r="B840" s="43" t="s">
        <v>4438</v>
      </c>
      <c r="C840" s="42" t="s">
        <v>1143</v>
      </c>
      <c r="D840" s="44" t="s">
        <v>7</v>
      </c>
      <c r="E840" s="44">
        <v>1</v>
      </c>
    </row>
    <row r="841" spans="1:5">
      <c r="A841" s="43" t="s">
        <v>3538</v>
      </c>
      <c r="B841" s="43" t="s">
        <v>4439</v>
      </c>
      <c r="C841" s="42" t="s">
        <v>4152</v>
      </c>
      <c r="D841" s="44" t="s">
        <v>7</v>
      </c>
      <c r="E841" s="44">
        <v>1</v>
      </c>
    </row>
    <row r="842" spans="1:5">
      <c r="A842" s="43" t="s">
        <v>3538</v>
      </c>
      <c r="B842" s="43" t="s">
        <v>4440</v>
      </c>
      <c r="C842" s="42" t="s">
        <v>49</v>
      </c>
      <c r="D842" s="44" t="s">
        <v>7</v>
      </c>
      <c r="E842" s="44">
        <v>1</v>
      </c>
    </row>
    <row r="843" spans="1:5">
      <c r="A843" s="43" t="s">
        <v>3538</v>
      </c>
      <c r="B843" s="43" t="s">
        <v>4441</v>
      </c>
      <c r="C843" s="42" t="s">
        <v>362</v>
      </c>
      <c r="D843" s="44" t="s">
        <v>7</v>
      </c>
      <c r="E843" s="44">
        <v>1</v>
      </c>
    </row>
    <row r="844" spans="1:5">
      <c r="A844" s="43" t="s">
        <v>3538</v>
      </c>
      <c r="B844" s="43" t="s">
        <v>4442</v>
      </c>
      <c r="C844" s="42" t="s">
        <v>4443</v>
      </c>
      <c r="D844" s="44" t="s">
        <v>7</v>
      </c>
      <c r="E844" s="44">
        <v>1</v>
      </c>
    </row>
    <row r="845" spans="1:5">
      <c r="A845" s="43" t="s">
        <v>3538</v>
      </c>
      <c r="B845" s="43" t="s">
        <v>4444</v>
      </c>
      <c r="C845" s="42" t="s">
        <v>96</v>
      </c>
      <c r="D845" s="44" t="s">
        <v>7</v>
      </c>
      <c r="E845" s="44">
        <v>1</v>
      </c>
    </row>
    <row r="846" spans="1:5">
      <c r="A846" s="43" t="s">
        <v>3538</v>
      </c>
      <c r="B846" s="43" t="s">
        <v>4445</v>
      </c>
      <c r="C846" s="42" t="s">
        <v>96</v>
      </c>
      <c r="D846" s="44" t="s">
        <v>7</v>
      </c>
      <c r="E846" s="44">
        <v>1</v>
      </c>
    </row>
    <row r="847" spans="1:5">
      <c r="A847" s="43" t="s">
        <v>3538</v>
      </c>
      <c r="B847" s="43" t="s">
        <v>4446</v>
      </c>
      <c r="C847" s="42" t="s">
        <v>96</v>
      </c>
      <c r="D847" s="44" t="s">
        <v>7</v>
      </c>
      <c r="E847" s="44">
        <v>1</v>
      </c>
    </row>
    <row r="848" spans="1:5">
      <c r="A848" s="43" t="s">
        <v>3538</v>
      </c>
      <c r="B848" s="43" t="s">
        <v>4447</v>
      </c>
      <c r="C848" s="42" t="s">
        <v>96</v>
      </c>
      <c r="D848" s="44" t="s">
        <v>7</v>
      </c>
      <c r="E848" s="44">
        <v>1</v>
      </c>
    </row>
    <row r="849" spans="1:5">
      <c r="A849" s="43" t="s">
        <v>3538</v>
      </c>
      <c r="B849" s="43" t="s">
        <v>4448</v>
      </c>
      <c r="C849" s="42" t="s">
        <v>96</v>
      </c>
      <c r="D849" s="44" t="s">
        <v>7</v>
      </c>
      <c r="E849" s="44">
        <v>1</v>
      </c>
    </row>
    <row r="850" spans="1:5">
      <c r="A850" s="43" t="s">
        <v>3538</v>
      </c>
      <c r="B850" s="43" t="s">
        <v>4449</v>
      </c>
      <c r="C850" s="42" t="s">
        <v>96</v>
      </c>
      <c r="D850" s="44" t="s">
        <v>7</v>
      </c>
      <c r="E850" s="44">
        <v>1</v>
      </c>
    </row>
    <row r="851" spans="1:5">
      <c r="A851" s="43" t="s">
        <v>3538</v>
      </c>
      <c r="B851" s="43" t="s">
        <v>4450</v>
      </c>
      <c r="C851" s="42" t="s">
        <v>96</v>
      </c>
      <c r="D851" s="44" t="s">
        <v>7</v>
      </c>
      <c r="E851" s="44">
        <v>1</v>
      </c>
    </row>
    <row r="852" spans="1:5">
      <c r="A852" s="43" t="s">
        <v>3538</v>
      </c>
      <c r="B852" s="43" t="s">
        <v>4451</v>
      </c>
      <c r="C852" s="42" t="s">
        <v>96</v>
      </c>
      <c r="D852" s="44" t="s">
        <v>7</v>
      </c>
      <c r="E852" s="44">
        <v>1</v>
      </c>
    </row>
    <row r="853" spans="1:5">
      <c r="A853" s="43" t="s">
        <v>3538</v>
      </c>
      <c r="B853" s="43" t="s">
        <v>4452</v>
      </c>
      <c r="C853" s="42" t="s">
        <v>96</v>
      </c>
      <c r="D853" s="44" t="s">
        <v>7</v>
      </c>
      <c r="E853" s="44">
        <v>1</v>
      </c>
    </row>
    <row r="854" spans="1:5">
      <c r="A854" s="43" t="s">
        <v>3538</v>
      </c>
      <c r="B854" s="43" t="s">
        <v>4453</v>
      </c>
      <c r="C854" s="42" t="s">
        <v>96</v>
      </c>
      <c r="D854" s="44" t="s">
        <v>7</v>
      </c>
      <c r="E854" s="44">
        <v>1</v>
      </c>
    </row>
    <row r="855" spans="1:5">
      <c r="A855" s="43" t="s">
        <v>3538</v>
      </c>
      <c r="B855" s="43" t="s">
        <v>4454</v>
      </c>
      <c r="C855" s="42" t="s">
        <v>96</v>
      </c>
      <c r="D855" s="44" t="s">
        <v>7</v>
      </c>
      <c r="E855" s="44">
        <v>1</v>
      </c>
    </row>
    <row r="856" spans="1:5">
      <c r="A856" s="43" t="s">
        <v>3538</v>
      </c>
      <c r="B856" s="43" t="s">
        <v>4455</v>
      </c>
      <c r="C856" s="42" t="s">
        <v>96</v>
      </c>
      <c r="D856" s="44" t="s">
        <v>7</v>
      </c>
      <c r="E856" s="44">
        <v>1</v>
      </c>
    </row>
    <row r="857" spans="1:5">
      <c r="A857" s="43" t="s">
        <v>3538</v>
      </c>
      <c r="B857" s="43" t="s">
        <v>4456</v>
      </c>
      <c r="C857" s="42" t="s">
        <v>96</v>
      </c>
      <c r="D857" s="44" t="s">
        <v>7</v>
      </c>
      <c r="E857" s="44">
        <v>1</v>
      </c>
    </row>
    <row r="858" spans="1:5">
      <c r="A858" s="43" t="s">
        <v>3538</v>
      </c>
      <c r="B858" s="43" t="s">
        <v>4457</v>
      </c>
      <c r="C858" s="42" t="s">
        <v>96</v>
      </c>
      <c r="D858" s="44" t="s">
        <v>7</v>
      </c>
      <c r="E858" s="44">
        <v>1</v>
      </c>
    </row>
    <row r="859" spans="1:5">
      <c r="A859" s="43" t="s">
        <v>3538</v>
      </c>
      <c r="B859" s="43" t="s">
        <v>4458</v>
      </c>
      <c r="C859" s="42" t="s">
        <v>96</v>
      </c>
      <c r="D859" s="44" t="s">
        <v>7</v>
      </c>
      <c r="E859" s="44">
        <v>1</v>
      </c>
    </row>
    <row r="860" spans="1:5">
      <c r="A860" s="43" t="s">
        <v>3538</v>
      </c>
      <c r="B860" s="43" t="s">
        <v>4459</v>
      </c>
      <c r="C860" s="42" t="s">
        <v>96</v>
      </c>
      <c r="D860" s="44" t="s">
        <v>7</v>
      </c>
      <c r="E860" s="44">
        <v>1</v>
      </c>
    </row>
    <row r="861" spans="1:5">
      <c r="A861" s="43" t="s">
        <v>3538</v>
      </c>
      <c r="B861" s="43" t="s">
        <v>4460</v>
      </c>
      <c r="C861" s="42" t="s">
        <v>96</v>
      </c>
      <c r="D861" s="44" t="s">
        <v>7</v>
      </c>
      <c r="E861" s="44">
        <v>1</v>
      </c>
    </row>
    <row r="862" spans="1:5">
      <c r="A862" s="43" t="s">
        <v>3538</v>
      </c>
      <c r="B862" s="43" t="s">
        <v>4461</v>
      </c>
      <c r="C862" s="42" t="s">
        <v>96</v>
      </c>
      <c r="D862" s="44" t="s">
        <v>7</v>
      </c>
      <c r="E862" s="44">
        <v>1</v>
      </c>
    </row>
    <row r="863" spans="1:5">
      <c r="A863" s="43" t="s">
        <v>3538</v>
      </c>
      <c r="B863" s="43" t="s">
        <v>4462</v>
      </c>
      <c r="C863" s="42" t="s">
        <v>96</v>
      </c>
      <c r="D863" s="44" t="s">
        <v>7</v>
      </c>
      <c r="E863" s="44">
        <v>1</v>
      </c>
    </row>
    <row r="864" spans="1:5">
      <c r="A864" s="43" t="s">
        <v>3538</v>
      </c>
      <c r="B864" s="43" t="s">
        <v>4463</v>
      </c>
      <c r="C864" s="42" t="s">
        <v>96</v>
      </c>
      <c r="D864" s="44" t="s">
        <v>7</v>
      </c>
      <c r="E864" s="44">
        <v>1</v>
      </c>
    </row>
    <row r="865" spans="1:5">
      <c r="A865" s="43" t="s">
        <v>3538</v>
      </c>
      <c r="B865" s="43" t="s">
        <v>4464</v>
      </c>
      <c r="C865" s="42" t="s">
        <v>96</v>
      </c>
      <c r="D865" s="44" t="s">
        <v>7</v>
      </c>
      <c r="E865" s="44">
        <v>1</v>
      </c>
    </row>
    <row r="866" spans="1:5">
      <c r="A866" s="43" t="s">
        <v>3538</v>
      </c>
      <c r="B866" s="43" t="s">
        <v>4465</v>
      </c>
      <c r="C866" s="42" t="s">
        <v>96</v>
      </c>
      <c r="D866" s="44" t="s">
        <v>7</v>
      </c>
      <c r="E866" s="44">
        <v>1</v>
      </c>
    </row>
    <row r="867" spans="1:5">
      <c r="A867" s="43" t="s">
        <v>3538</v>
      </c>
      <c r="B867" s="43" t="s">
        <v>4466</v>
      </c>
      <c r="C867" s="42" t="s">
        <v>96</v>
      </c>
      <c r="D867" s="44" t="s">
        <v>7</v>
      </c>
      <c r="E867" s="44">
        <v>1</v>
      </c>
    </row>
    <row r="868" spans="1:5">
      <c r="A868" s="43" t="s">
        <v>3538</v>
      </c>
      <c r="B868" s="43" t="s">
        <v>4467</v>
      </c>
      <c r="C868" s="42" t="s">
        <v>96</v>
      </c>
      <c r="D868" s="44" t="s">
        <v>7</v>
      </c>
      <c r="E868" s="44">
        <v>1</v>
      </c>
    </row>
    <row r="869" spans="1:5">
      <c r="A869" s="43" t="s">
        <v>3538</v>
      </c>
      <c r="B869" s="43" t="s">
        <v>4468</v>
      </c>
      <c r="C869" s="42" t="s">
        <v>96</v>
      </c>
      <c r="D869" s="44" t="s">
        <v>7</v>
      </c>
      <c r="E869" s="44">
        <v>1</v>
      </c>
    </row>
    <row r="870" spans="1:5">
      <c r="A870" s="43" t="s">
        <v>3538</v>
      </c>
      <c r="B870" s="43" t="s">
        <v>4469</v>
      </c>
      <c r="C870" s="42" t="s">
        <v>96</v>
      </c>
      <c r="D870" s="44" t="s">
        <v>7</v>
      </c>
      <c r="E870" s="44">
        <v>1</v>
      </c>
    </row>
    <row r="871" spans="1:5">
      <c r="A871" s="43" t="s">
        <v>3538</v>
      </c>
      <c r="B871" s="43" t="s">
        <v>4470</v>
      </c>
      <c r="C871" s="42" t="s">
        <v>96</v>
      </c>
      <c r="D871" s="44" t="s">
        <v>7</v>
      </c>
      <c r="E871" s="44">
        <v>1</v>
      </c>
    </row>
    <row r="872" spans="1:5">
      <c r="A872" s="43" t="s">
        <v>3538</v>
      </c>
      <c r="B872" s="43" t="s">
        <v>4471</v>
      </c>
      <c r="C872" s="42" t="s">
        <v>96</v>
      </c>
      <c r="D872" s="44" t="s">
        <v>7</v>
      </c>
      <c r="E872" s="44">
        <v>1</v>
      </c>
    </row>
    <row r="873" spans="1:5">
      <c r="A873" s="43" t="s">
        <v>3538</v>
      </c>
      <c r="B873" s="43" t="s">
        <v>4472</v>
      </c>
      <c r="C873" s="42" t="s">
        <v>96</v>
      </c>
      <c r="D873" s="44" t="s">
        <v>7</v>
      </c>
      <c r="E873" s="44">
        <v>1</v>
      </c>
    </row>
    <row r="874" spans="1:5">
      <c r="A874" s="43" t="s">
        <v>3538</v>
      </c>
      <c r="B874" s="43" t="s">
        <v>4473</v>
      </c>
      <c r="C874" s="42" t="s">
        <v>96</v>
      </c>
      <c r="D874" s="44" t="s">
        <v>7</v>
      </c>
      <c r="E874" s="44">
        <v>1</v>
      </c>
    </row>
    <row r="875" spans="1:5">
      <c r="A875" s="43" t="s">
        <v>3538</v>
      </c>
      <c r="B875" s="43" t="s">
        <v>4474</v>
      </c>
      <c r="C875" s="42" t="s">
        <v>96</v>
      </c>
      <c r="D875" s="44" t="s">
        <v>7</v>
      </c>
      <c r="E875" s="44">
        <v>1</v>
      </c>
    </row>
    <row r="876" spans="1:5">
      <c r="A876" s="43" t="s">
        <v>3538</v>
      </c>
      <c r="B876" s="43" t="s">
        <v>4475</v>
      </c>
      <c r="C876" s="42" t="s">
        <v>96</v>
      </c>
      <c r="D876" s="44" t="s">
        <v>7</v>
      </c>
      <c r="E876" s="44">
        <v>1</v>
      </c>
    </row>
    <row r="877" spans="1:5">
      <c r="A877" s="43" t="s">
        <v>3538</v>
      </c>
      <c r="B877" s="43" t="s">
        <v>4476</v>
      </c>
      <c r="C877" s="42" t="s">
        <v>96</v>
      </c>
      <c r="D877" s="44" t="s">
        <v>7</v>
      </c>
      <c r="E877" s="44">
        <v>1</v>
      </c>
    </row>
    <row r="878" spans="1:5">
      <c r="A878" s="43" t="s">
        <v>3538</v>
      </c>
      <c r="B878" s="43" t="s">
        <v>4477</v>
      </c>
      <c r="C878" s="42" t="s">
        <v>96</v>
      </c>
      <c r="D878" s="44" t="s">
        <v>7</v>
      </c>
      <c r="E878" s="44">
        <v>1</v>
      </c>
    </row>
    <row r="879" spans="1:5">
      <c r="A879" s="43" t="s">
        <v>3538</v>
      </c>
      <c r="B879" s="43" t="s">
        <v>4478</v>
      </c>
      <c r="C879" s="42" t="s">
        <v>96</v>
      </c>
      <c r="D879" s="44" t="s">
        <v>7</v>
      </c>
      <c r="E879" s="44">
        <v>1</v>
      </c>
    </row>
    <row r="880" spans="1:5">
      <c r="A880" s="43" t="s">
        <v>3538</v>
      </c>
      <c r="B880" s="43" t="s">
        <v>4479</v>
      </c>
      <c r="C880" s="42" t="s">
        <v>96</v>
      </c>
      <c r="D880" s="44" t="s">
        <v>7</v>
      </c>
      <c r="E880" s="44">
        <v>1</v>
      </c>
    </row>
    <row r="881" spans="1:5">
      <c r="A881" s="43" t="s">
        <v>3538</v>
      </c>
      <c r="B881" s="43" t="s">
        <v>4480</v>
      </c>
      <c r="C881" s="42" t="s">
        <v>96</v>
      </c>
      <c r="D881" s="44" t="s">
        <v>7</v>
      </c>
      <c r="E881" s="44">
        <v>1</v>
      </c>
    </row>
    <row r="882" spans="1:5">
      <c r="A882" s="43" t="s">
        <v>3538</v>
      </c>
      <c r="B882" s="43" t="s">
        <v>4481</v>
      </c>
      <c r="C882" s="42" t="s">
        <v>96</v>
      </c>
      <c r="D882" s="44" t="s">
        <v>7</v>
      </c>
      <c r="E882" s="44">
        <v>1</v>
      </c>
    </row>
    <row r="883" spans="1:5">
      <c r="A883" s="43" t="s">
        <v>3538</v>
      </c>
      <c r="B883" s="43" t="s">
        <v>4482</v>
      </c>
      <c r="C883" s="42" t="s">
        <v>96</v>
      </c>
      <c r="D883" s="44" t="s">
        <v>7</v>
      </c>
      <c r="E883" s="44">
        <v>1</v>
      </c>
    </row>
    <row r="884" spans="1:5">
      <c r="A884" s="43" t="s">
        <v>3538</v>
      </c>
      <c r="B884" s="43" t="s">
        <v>4483</v>
      </c>
      <c r="C884" s="42" t="s">
        <v>96</v>
      </c>
      <c r="D884" s="44" t="s">
        <v>7</v>
      </c>
      <c r="E884" s="44">
        <v>1</v>
      </c>
    </row>
    <row r="885" spans="1:5">
      <c r="A885" s="43" t="s">
        <v>3538</v>
      </c>
      <c r="B885" s="43" t="s">
        <v>4484</v>
      </c>
      <c r="C885" s="42" t="s">
        <v>96</v>
      </c>
      <c r="D885" s="44" t="s">
        <v>7</v>
      </c>
      <c r="E885" s="44">
        <v>1</v>
      </c>
    </row>
    <row r="886" spans="1:5">
      <c r="A886" s="43" t="s">
        <v>3538</v>
      </c>
      <c r="B886" s="43" t="s">
        <v>4485</v>
      </c>
      <c r="C886" s="42" t="s">
        <v>96</v>
      </c>
      <c r="D886" s="44" t="s">
        <v>7</v>
      </c>
      <c r="E886" s="44">
        <v>1</v>
      </c>
    </row>
    <row r="887" spans="1:5">
      <c r="A887" s="43" t="s">
        <v>3538</v>
      </c>
      <c r="B887" s="43" t="s">
        <v>4486</v>
      </c>
      <c r="C887" s="42" t="s">
        <v>96</v>
      </c>
      <c r="D887" s="44" t="s">
        <v>7</v>
      </c>
      <c r="E887" s="44">
        <v>1</v>
      </c>
    </row>
    <row r="888" spans="1:5">
      <c r="A888" s="43" t="s">
        <v>3538</v>
      </c>
      <c r="B888" s="43" t="s">
        <v>4487</v>
      </c>
      <c r="C888" s="42" t="s">
        <v>96</v>
      </c>
      <c r="D888" s="44" t="s">
        <v>7</v>
      </c>
      <c r="E888" s="44">
        <v>1</v>
      </c>
    </row>
    <row r="889" spans="1:5">
      <c r="A889" s="43" t="s">
        <v>3538</v>
      </c>
      <c r="B889" s="43" t="s">
        <v>4488</v>
      </c>
      <c r="C889" s="42" t="s">
        <v>96</v>
      </c>
      <c r="D889" s="44" t="s">
        <v>7</v>
      </c>
      <c r="E889" s="44">
        <v>1</v>
      </c>
    </row>
    <row r="890" spans="1:5">
      <c r="A890" s="43" t="s">
        <v>3538</v>
      </c>
      <c r="B890" s="43" t="s">
        <v>4489</v>
      </c>
      <c r="C890" s="42" t="s">
        <v>96</v>
      </c>
      <c r="D890" s="44" t="s">
        <v>7</v>
      </c>
      <c r="E890" s="44">
        <v>1</v>
      </c>
    </row>
    <row r="891" spans="1:5">
      <c r="A891" s="43" t="s">
        <v>3538</v>
      </c>
      <c r="B891" s="43" t="s">
        <v>4490</v>
      </c>
      <c r="C891" s="42" t="s">
        <v>96</v>
      </c>
      <c r="D891" s="44" t="s">
        <v>7</v>
      </c>
      <c r="E891" s="44">
        <v>1</v>
      </c>
    </row>
    <row r="892" spans="1:5">
      <c r="A892" s="43" t="s">
        <v>3538</v>
      </c>
      <c r="B892" s="43" t="s">
        <v>4491</v>
      </c>
      <c r="C892" s="42" t="s">
        <v>96</v>
      </c>
      <c r="D892" s="44" t="s">
        <v>7</v>
      </c>
      <c r="E892" s="44">
        <v>1</v>
      </c>
    </row>
    <row r="893" spans="1:5">
      <c r="A893" s="43" t="s">
        <v>3538</v>
      </c>
      <c r="B893" s="43" t="s">
        <v>4492</v>
      </c>
      <c r="C893" s="42" t="s">
        <v>96</v>
      </c>
      <c r="D893" s="44" t="s">
        <v>7</v>
      </c>
      <c r="E893" s="44">
        <v>1</v>
      </c>
    </row>
    <row r="894" spans="1:5">
      <c r="A894" s="43" t="s">
        <v>3538</v>
      </c>
      <c r="B894" s="43" t="s">
        <v>4493</v>
      </c>
      <c r="C894" s="42" t="s">
        <v>96</v>
      </c>
      <c r="D894" s="44" t="s">
        <v>7</v>
      </c>
      <c r="E894" s="44">
        <v>1</v>
      </c>
    </row>
    <row r="895" spans="1:5">
      <c r="A895" s="43" t="s">
        <v>3538</v>
      </c>
      <c r="B895" s="43" t="s">
        <v>4494</v>
      </c>
      <c r="C895" s="42" t="s">
        <v>96</v>
      </c>
      <c r="D895" s="44" t="s">
        <v>7</v>
      </c>
      <c r="E895" s="44">
        <v>1</v>
      </c>
    </row>
    <row r="896" spans="1:5">
      <c r="A896" s="43" t="s">
        <v>3538</v>
      </c>
      <c r="B896" s="43" t="s">
        <v>4495</v>
      </c>
      <c r="C896" s="42" t="s">
        <v>96</v>
      </c>
      <c r="D896" s="44" t="s">
        <v>7</v>
      </c>
      <c r="E896" s="44">
        <v>1</v>
      </c>
    </row>
    <row r="897" spans="1:5">
      <c r="A897" s="43" t="s">
        <v>3538</v>
      </c>
      <c r="B897" s="43" t="s">
        <v>4496</v>
      </c>
      <c r="C897" s="42" t="s">
        <v>96</v>
      </c>
      <c r="D897" s="44" t="s">
        <v>7</v>
      </c>
      <c r="E897" s="44">
        <v>1</v>
      </c>
    </row>
    <row r="898" spans="1:5">
      <c r="A898" s="43" t="s">
        <v>3538</v>
      </c>
      <c r="B898" s="43" t="s">
        <v>4497</v>
      </c>
      <c r="C898" s="42" t="s">
        <v>96</v>
      </c>
      <c r="D898" s="44" t="s">
        <v>7</v>
      </c>
      <c r="E898" s="44">
        <v>1</v>
      </c>
    </row>
    <row r="899" spans="1:5">
      <c r="A899" s="43" t="s">
        <v>3538</v>
      </c>
      <c r="B899" s="43" t="s">
        <v>4498</v>
      </c>
      <c r="C899" s="42" t="s">
        <v>96</v>
      </c>
      <c r="D899" s="44" t="s">
        <v>7</v>
      </c>
      <c r="E899" s="44">
        <v>1</v>
      </c>
    </row>
    <row r="900" spans="1:5">
      <c r="A900" s="43" t="s">
        <v>3538</v>
      </c>
      <c r="B900" s="43">
        <v>20200544</v>
      </c>
      <c r="C900" s="42" t="s">
        <v>96</v>
      </c>
      <c r="D900" s="44" t="s">
        <v>7</v>
      </c>
      <c r="E900" s="44">
        <v>1</v>
      </c>
    </row>
    <row r="901" spans="1:5">
      <c r="A901" s="43" t="s">
        <v>3538</v>
      </c>
      <c r="B901" s="43" t="s">
        <v>4499</v>
      </c>
      <c r="C901" s="42" t="s">
        <v>96</v>
      </c>
      <c r="D901" s="44" t="s">
        <v>7</v>
      </c>
      <c r="E901" s="44">
        <v>1</v>
      </c>
    </row>
    <row r="902" spans="1:5">
      <c r="A902" s="43" t="s">
        <v>3538</v>
      </c>
      <c r="B902" s="43" t="s">
        <v>4500</v>
      </c>
      <c r="C902" s="42" t="s">
        <v>96</v>
      </c>
      <c r="D902" s="44" t="s">
        <v>7</v>
      </c>
      <c r="E902" s="44">
        <v>1</v>
      </c>
    </row>
    <row r="903" spans="1:5">
      <c r="A903" s="43" t="s">
        <v>3538</v>
      </c>
      <c r="B903" s="43" t="s">
        <v>4501</v>
      </c>
      <c r="C903" s="42" t="s">
        <v>95</v>
      </c>
      <c r="D903" s="44" t="s">
        <v>7</v>
      </c>
      <c r="E903" s="44">
        <v>1</v>
      </c>
    </row>
    <row r="904" spans="1:5">
      <c r="A904" s="43" t="s">
        <v>3538</v>
      </c>
      <c r="B904" s="43" t="s">
        <v>4502</v>
      </c>
      <c r="C904" s="42" t="s">
        <v>95</v>
      </c>
      <c r="D904" s="44" t="s">
        <v>7</v>
      </c>
      <c r="E904" s="44">
        <v>1</v>
      </c>
    </row>
    <row r="905" spans="1:5">
      <c r="A905" s="43" t="s">
        <v>3538</v>
      </c>
      <c r="B905" s="43" t="s">
        <v>4503</v>
      </c>
      <c r="C905" s="42" t="s">
        <v>95</v>
      </c>
      <c r="D905" s="44" t="s">
        <v>7</v>
      </c>
      <c r="E905" s="44">
        <v>1</v>
      </c>
    </row>
    <row r="906" spans="1:5">
      <c r="A906" s="43" t="s">
        <v>3538</v>
      </c>
      <c r="C906" s="42" t="s">
        <v>3938</v>
      </c>
      <c r="D906" s="44" t="s">
        <v>7</v>
      </c>
      <c r="E906" s="44">
        <v>1</v>
      </c>
    </row>
    <row r="907" spans="1:5">
      <c r="A907" s="43" t="s">
        <v>3538</v>
      </c>
      <c r="C907" s="42" t="s">
        <v>4504</v>
      </c>
      <c r="D907" s="44" t="s">
        <v>7</v>
      </c>
      <c r="E907" s="44">
        <v>1</v>
      </c>
    </row>
    <row r="908" spans="1:5">
      <c r="A908" s="43" t="s">
        <v>3538</v>
      </c>
      <c r="C908" s="42" t="s">
        <v>2478</v>
      </c>
      <c r="D908" s="44" t="s">
        <v>7</v>
      </c>
      <c r="E908" s="44">
        <v>1</v>
      </c>
    </row>
    <row r="909" spans="1:5">
      <c r="A909" s="43" t="s">
        <v>3538</v>
      </c>
      <c r="B909" s="43" t="s">
        <v>4505</v>
      </c>
      <c r="C909" s="42" t="s">
        <v>4506</v>
      </c>
      <c r="D909" s="44" t="s">
        <v>7</v>
      </c>
      <c r="E909" s="44">
        <v>1</v>
      </c>
    </row>
    <row r="910" spans="1:5">
      <c r="A910" s="43" t="s">
        <v>3538</v>
      </c>
      <c r="B910" s="43" t="s">
        <v>4507</v>
      </c>
      <c r="C910" s="42" t="s">
        <v>4508</v>
      </c>
      <c r="D910" s="44" t="s">
        <v>7</v>
      </c>
      <c r="E910" s="44">
        <v>1</v>
      </c>
    </row>
    <row r="911" spans="1:5">
      <c r="A911" s="43" t="s">
        <v>3538</v>
      </c>
      <c r="B911" s="43" t="s">
        <v>4509</v>
      </c>
      <c r="C911" s="42" t="s">
        <v>4510</v>
      </c>
      <c r="D911" s="44" t="s">
        <v>7</v>
      </c>
      <c r="E911" s="44">
        <v>1</v>
      </c>
    </row>
    <row r="912" spans="1:5">
      <c r="A912" s="43" t="s">
        <v>3538</v>
      </c>
      <c r="B912" s="43" t="s">
        <v>4511</v>
      </c>
      <c r="C912" s="42" t="s">
        <v>4512</v>
      </c>
      <c r="D912" s="44" t="s">
        <v>7</v>
      </c>
      <c r="E912" s="44">
        <v>1</v>
      </c>
    </row>
    <row r="913" spans="1:5">
      <c r="A913" s="43" t="s">
        <v>3538</v>
      </c>
      <c r="B913" s="43" t="s">
        <v>4513</v>
      </c>
      <c r="C913" s="42" t="s">
        <v>4514</v>
      </c>
      <c r="D913" s="44" t="s">
        <v>7</v>
      </c>
      <c r="E913" s="44">
        <v>1</v>
      </c>
    </row>
    <row r="914" spans="1:5">
      <c r="A914" s="43" t="s">
        <v>3538</v>
      </c>
      <c r="B914" s="43" t="s">
        <v>4515</v>
      </c>
      <c r="C914" s="42" t="s">
        <v>4516</v>
      </c>
      <c r="D914" s="44" t="s">
        <v>7</v>
      </c>
      <c r="E914" s="44">
        <v>1</v>
      </c>
    </row>
    <row r="915" spans="1:5">
      <c r="A915" s="43" t="s">
        <v>3538</v>
      </c>
      <c r="B915" s="43" t="s">
        <v>4517</v>
      </c>
      <c r="C915" s="42" t="s">
        <v>4518</v>
      </c>
      <c r="D915" s="44" t="s">
        <v>7</v>
      </c>
      <c r="E915" s="44">
        <v>1</v>
      </c>
    </row>
    <row r="916" spans="1:5">
      <c r="A916" s="43" t="s">
        <v>3538</v>
      </c>
      <c r="B916" s="43" t="s">
        <v>4519</v>
      </c>
      <c r="C916" s="42" t="s">
        <v>96</v>
      </c>
      <c r="D916" s="44" t="s">
        <v>7</v>
      </c>
      <c r="E916" s="44">
        <v>1</v>
      </c>
    </row>
    <row r="917" spans="1:5">
      <c r="A917" s="43" t="s">
        <v>3538</v>
      </c>
      <c r="B917" s="43" t="s">
        <v>4520</v>
      </c>
      <c r="C917" s="42" t="s">
        <v>772</v>
      </c>
      <c r="D917" s="44" t="s">
        <v>7</v>
      </c>
      <c r="E917" s="44">
        <v>1</v>
      </c>
    </row>
    <row r="918" spans="1:5">
      <c r="A918" s="43" t="s">
        <v>3538</v>
      </c>
      <c r="B918" s="43" t="s">
        <v>4521</v>
      </c>
      <c r="C918" s="42" t="s">
        <v>96</v>
      </c>
      <c r="D918" s="44" t="s">
        <v>7</v>
      </c>
      <c r="E918" s="44">
        <v>1</v>
      </c>
    </row>
    <row r="919" spans="1:5">
      <c r="A919" s="43" t="s">
        <v>3538</v>
      </c>
      <c r="B919" s="43" t="s">
        <v>4522</v>
      </c>
      <c r="C919" s="42" t="s">
        <v>95</v>
      </c>
      <c r="D919" s="44" t="s">
        <v>7</v>
      </c>
      <c r="E919" s="44">
        <v>1</v>
      </c>
    </row>
    <row r="920" spans="1:5">
      <c r="A920" s="43" t="s">
        <v>3538</v>
      </c>
      <c r="B920" s="43" t="s">
        <v>4523</v>
      </c>
      <c r="C920" s="42" t="s">
        <v>4524</v>
      </c>
      <c r="D920" s="44" t="s">
        <v>7</v>
      </c>
      <c r="E920" s="44">
        <v>1</v>
      </c>
    </row>
    <row r="921" spans="1:5">
      <c r="A921" s="43" t="s">
        <v>3538</v>
      </c>
      <c r="B921" s="43" t="s">
        <v>4525</v>
      </c>
      <c r="C921" s="42" t="s">
        <v>4526</v>
      </c>
      <c r="D921" s="44" t="s">
        <v>7</v>
      </c>
      <c r="E921" s="44">
        <v>1</v>
      </c>
    </row>
    <row r="922" spans="1:5">
      <c r="A922" s="43" t="s">
        <v>3538</v>
      </c>
      <c r="B922" s="43" t="s">
        <v>4527</v>
      </c>
      <c r="C922" s="42" t="s">
        <v>4528</v>
      </c>
      <c r="D922" s="44" t="s">
        <v>7</v>
      </c>
      <c r="E922" s="44">
        <v>1</v>
      </c>
    </row>
    <row r="923" spans="1:5">
      <c r="A923" s="43" t="s">
        <v>3538</v>
      </c>
      <c r="B923" s="43" t="s">
        <v>4529</v>
      </c>
      <c r="C923" s="42" t="s">
        <v>4530</v>
      </c>
      <c r="D923" s="44" t="s">
        <v>7</v>
      </c>
      <c r="E923" s="44">
        <v>1</v>
      </c>
    </row>
    <row r="924" spans="1:5">
      <c r="A924" s="43" t="s">
        <v>3538</v>
      </c>
      <c r="B924" s="43" t="s">
        <v>4531</v>
      </c>
      <c r="C924" s="42" t="s">
        <v>4530</v>
      </c>
      <c r="D924" s="44" t="s">
        <v>7</v>
      </c>
      <c r="E924" s="44">
        <v>1</v>
      </c>
    </row>
    <row r="925" spans="1:5">
      <c r="A925" s="43" t="s">
        <v>3538</v>
      </c>
      <c r="B925" s="43" t="s">
        <v>4532</v>
      </c>
      <c r="C925" s="42" t="s">
        <v>4530</v>
      </c>
      <c r="D925" s="44" t="s">
        <v>7</v>
      </c>
      <c r="E925" s="44">
        <v>1</v>
      </c>
    </row>
    <row r="926" spans="1:5">
      <c r="A926" s="43" t="s">
        <v>3538</v>
      </c>
      <c r="B926" s="43" t="s">
        <v>4533</v>
      </c>
      <c r="C926" s="42" t="s">
        <v>4530</v>
      </c>
      <c r="D926" s="44" t="s">
        <v>7</v>
      </c>
      <c r="E926" s="44">
        <v>1</v>
      </c>
    </row>
    <row r="927" spans="1:5">
      <c r="A927" s="43" t="s">
        <v>3538</v>
      </c>
      <c r="B927" s="43" t="s">
        <v>4534</v>
      </c>
      <c r="C927" s="42" t="s">
        <v>4535</v>
      </c>
      <c r="D927" s="44" t="s">
        <v>7</v>
      </c>
      <c r="E927" s="44">
        <v>1</v>
      </c>
    </row>
    <row r="928" spans="1:5">
      <c r="A928" s="43" t="s">
        <v>3538</v>
      </c>
      <c r="B928" s="43" t="s">
        <v>4536</v>
      </c>
      <c r="C928" s="42" t="s">
        <v>4537</v>
      </c>
      <c r="D928" s="44" t="s">
        <v>7</v>
      </c>
      <c r="E928" s="44">
        <v>1</v>
      </c>
    </row>
    <row r="929" spans="1:5">
      <c r="A929" s="43" t="s">
        <v>3538</v>
      </c>
      <c r="B929" s="43" t="s">
        <v>4538</v>
      </c>
      <c r="C929" s="42" t="s">
        <v>4539</v>
      </c>
      <c r="D929" s="44" t="s">
        <v>7</v>
      </c>
      <c r="E929" s="44">
        <v>1</v>
      </c>
    </row>
    <row r="930" spans="1:5">
      <c r="A930" s="43" t="s">
        <v>3538</v>
      </c>
      <c r="C930" s="42" t="s">
        <v>4540</v>
      </c>
      <c r="D930" s="44" t="s">
        <v>7</v>
      </c>
      <c r="E930" s="44">
        <v>1</v>
      </c>
    </row>
    <row r="931" spans="1:5">
      <c r="A931" s="43" t="s">
        <v>3538</v>
      </c>
      <c r="B931" s="43" t="s">
        <v>4541</v>
      </c>
      <c r="C931" s="42" t="s">
        <v>2000</v>
      </c>
      <c r="D931" s="44" t="s">
        <v>7</v>
      </c>
      <c r="E931" s="44">
        <v>1</v>
      </c>
    </row>
    <row r="932" spans="1:5">
      <c r="A932" s="43" t="s">
        <v>3538</v>
      </c>
      <c r="B932" s="43" t="s">
        <v>4542</v>
      </c>
      <c r="C932" s="42" t="s">
        <v>2000</v>
      </c>
      <c r="D932" s="44" t="s">
        <v>7</v>
      </c>
      <c r="E932" s="44">
        <v>1</v>
      </c>
    </row>
    <row r="933" spans="1:5">
      <c r="A933" s="43" t="s">
        <v>3538</v>
      </c>
      <c r="B933" s="43" t="s">
        <v>4543</v>
      </c>
      <c r="C933" s="42" t="s">
        <v>2000</v>
      </c>
      <c r="D933" s="44" t="s">
        <v>7</v>
      </c>
      <c r="E933" s="44">
        <v>1</v>
      </c>
    </row>
    <row r="934" spans="1:5">
      <c r="A934" s="43" t="s">
        <v>3538</v>
      </c>
      <c r="B934" s="43" t="s">
        <v>4544</v>
      </c>
      <c r="C934" s="42" t="s">
        <v>2000</v>
      </c>
      <c r="D934" s="44" t="s">
        <v>7</v>
      </c>
      <c r="E934" s="44">
        <v>1</v>
      </c>
    </row>
    <row r="935" spans="1:5">
      <c r="A935" s="43" t="s">
        <v>3538</v>
      </c>
      <c r="B935" s="43" t="s">
        <v>4545</v>
      </c>
      <c r="C935" s="42" t="s">
        <v>2000</v>
      </c>
      <c r="D935" s="44" t="s">
        <v>7</v>
      </c>
      <c r="E935" s="44">
        <v>1</v>
      </c>
    </row>
    <row r="936" spans="1:5">
      <c r="A936" s="43" t="s">
        <v>3538</v>
      </c>
      <c r="B936" s="43" t="s">
        <v>4546</v>
      </c>
      <c r="C936" s="42" t="s">
        <v>2000</v>
      </c>
      <c r="D936" s="44" t="s">
        <v>7</v>
      </c>
      <c r="E936" s="44">
        <v>1</v>
      </c>
    </row>
    <row r="937" spans="1:5">
      <c r="A937" s="43" t="s">
        <v>3538</v>
      </c>
      <c r="B937" s="43" t="s">
        <v>4547</v>
      </c>
      <c r="C937" s="42" t="s">
        <v>2000</v>
      </c>
      <c r="D937" s="44" t="s">
        <v>7</v>
      </c>
      <c r="E937" s="44">
        <v>1</v>
      </c>
    </row>
    <row r="938" spans="1:5">
      <c r="A938" s="43" t="s">
        <v>3538</v>
      </c>
      <c r="B938" s="43" t="s">
        <v>4548</v>
      </c>
      <c r="C938" s="42" t="s">
        <v>2000</v>
      </c>
      <c r="D938" s="44" t="s">
        <v>7</v>
      </c>
      <c r="E938" s="44">
        <v>1</v>
      </c>
    </row>
    <row r="939" spans="1:5">
      <c r="A939" s="43" t="s">
        <v>3538</v>
      </c>
      <c r="B939" s="43" t="s">
        <v>4549</v>
      </c>
      <c r="C939" s="42" t="s">
        <v>4550</v>
      </c>
      <c r="D939" s="44" t="s">
        <v>7</v>
      </c>
      <c r="E939" s="44">
        <v>1</v>
      </c>
    </row>
    <row r="940" spans="1:5">
      <c r="A940" s="43" t="s">
        <v>3538</v>
      </c>
      <c r="B940" s="43" t="s">
        <v>4551</v>
      </c>
      <c r="C940" s="42" t="s">
        <v>4550</v>
      </c>
      <c r="D940" s="44" t="s">
        <v>7</v>
      </c>
      <c r="E940" s="44">
        <v>1</v>
      </c>
    </row>
    <row r="941" spans="1:5">
      <c r="A941" s="43" t="s">
        <v>3538</v>
      </c>
      <c r="B941" s="43" t="s">
        <v>4552</v>
      </c>
      <c r="C941" s="42" t="s">
        <v>4550</v>
      </c>
      <c r="D941" s="44" t="s">
        <v>7</v>
      </c>
      <c r="E941" s="44">
        <v>1</v>
      </c>
    </row>
    <row r="942" spans="1:5">
      <c r="A942" s="43" t="s">
        <v>3538</v>
      </c>
      <c r="B942" s="43" t="s">
        <v>4553</v>
      </c>
      <c r="C942" s="42" t="s">
        <v>4550</v>
      </c>
      <c r="D942" s="44" t="s">
        <v>7</v>
      </c>
      <c r="E942" s="44">
        <v>1</v>
      </c>
    </row>
    <row r="943" spans="1:5">
      <c r="A943" s="43" t="s">
        <v>3538</v>
      </c>
      <c r="B943" s="43" t="s">
        <v>4554</v>
      </c>
      <c r="C943" s="42" t="s">
        <v>4550</v>
      </c>
      <c r="D943" s="44" t="s">
        <v>7</v>
      </c>
      <c r="E943" s="44">
        <v>1</v>
      </c>
    </row>
    <row r="944" spans="1:5">
      <c r="A944" s="43" t="s">
        <v>3538</v>
      </c>
      <c r="B944" s="43" t="s">
        <v>4555</v>
      </c>
      <c r="C944" s="42" t="s">
        <v>4550</v>
      </c>
      <c r="D944" s="44" t="s">
        <v>7</v>
      </c>
      <c r="E944" s="44">
        <v>1</v>
      </c>
    </row>
    <row r="945" spans="1:5">
      <c r="A945" s="43" t="s">
        <v>3538</v>
      </c>
      <c r="B945" s="43" t="s">
        <v>4556</v>
      </c>
      <c r="C945" s="42" t="s">
        <v>4550</v>
      </c>
      <c r="D945" s="44" t="s">
        <v>7</v>
      </c>
      <c r="E945" s="44">
        <v>1</v>
      </c>
    </row>
    <row r="946" spans="1:5">
      <c r="A946" s="43" t="s">
        <v>3538</v>
      </c>
      <c r="B946" s="43" t="s">
        <v>4557</v>
      </c>
      <c r="C946" s="42" t="s">
        <v>4550</v>
      </c>
      <c r="D946" s="44" t="s">
        <v>7</v>
      </c>
      <c r="E946" s="44">
        <v>1</v>
      </c>
    </row>
    <row r="947" spans="1:5">
      <c r="A947" s="43" t="s">
        <v>3538</v>
      </c>
      <c r="B947" s="43" t="s">
        <v>4558</v>
      </c>
      <c r="C947" s="42" t="s">
        <v>4559</v>
      </c>
      <c r="D947" s="44" t="s">
        <v>7</v>
      </c>
      <c r="E947" s="44">
        <v>1</v>
      </c>
    </row>
    <row r="948" spans="1:5">
      <c r="A948" s="43" t="s">
        <v>3538</v>
      </c>
      <c r="B948" s="43" t="s">
        <v>4560</v>
      </c>
      <c r="C948" s="42" t="s">
        <v>4559</v>
      </c>
      <c r="D948" s="44" t="s">
        <v>7</v>
      </c>
      <c r="E948" s="44">
        <v>1</v>
      </c>
    </row>
    <row r="949" spans="1:5">
      <c r="A949" s="43" t="s">
        <v>3538</v>
      </c>
      <c r="B949" s="43" t="s">
        <v>4561</v>
      </c>
      <c r="C949" s="42" t="s">
        <v>4559</v>
      </c>
      <c r="D949" s="44" t="s">
        <v>7</v>
      </c>
      <c r="E949" s="44">
        <v>1</v>
      </c>
    </row>
    <row r="950" spans="1:5">
      <c r="A950" s="43" t="s">
        <v>3538</v>
      </c>
      <c r="B950" s="43" t="s">
        <v>4562</v>
      </c>
      <c r="C950" s="42" t="s">
        <v>4559</v>
      </c>
      <c r="D950" s="44" t="s">
        <v>7</v>
      </c>
      <c r="E950" s="44">
        <v>1</v>
      </c>
    </row>
    <row r="951" spans="1:5">
      <c r="A951" s="43" t="s">
        <v>3538</v>
      </c>
      <c r="B951" s="43" t="s">
        <v>4563</v>
      </c>
      <c r="C951" s="42" t="s">
        <v>4559</v>
      </c>
      <c r="D951" s="44" t="s">
        <v>7</v>
      </c>
      <c r="E951" s="44">
        <v>1</v>
      </c>
    </row>
    <row r="952" spans="1:5">
      <c r="A952" s="43" t="s">
        <v>3538</v>
      </c>
      <c r="B952" s="43" t="s">
        <v>4564</v>
      </c>
      <c r="C952" s="42" t="s">
        <v>4559</v>
      </c>
      <c r="D952" s="44" t="s">
        <v>7</v>
      </c>
      <c r="E952" s="44">
        <v>1</v>
      </c>
    </row>
    <row r="953" spans="1:5">
      <c r="A953" s="43" t="s">
        <v>3538</v>
      </c>
      <c r="B953" s="43" t="s">
        <v>4565</v>
      </c>
      <c r="C953" s="42" t="s">
        <v>4559</v>
      </c>
      <c r="D953" s="44" t="s">
        <v>7</v>
      </c>
      <c r="E953" s="44">
        <v>1</v>
      </c>
    </row>
    <row r="954" spans="1:5">
      <c r="A954" s="43" t="s">
        <v>3538</v>
      </c>
      <c r="B954" s="43" t="s">
        <v>4566</v>
      </c>
      <c r="C954" s="42" t="s">
        <v>4559</v>
      </c>
      <c r="D954" s="44" t="s">
        <v>7</v>
      </c>
      <c r="E954" s="44">
        <v>1</v>
      </c>
    </row>
    <row r="955" spans="1:5">
      <c r="A955" s="43" t="s">
        <v>3538</v>
      </c>
      <c r="B955" s="43" t="s">
        <v>4567</v>
      </c>
      <c r="C955" s="42" t="s">
        <v>4568</v>
      </c>
      <c r="D955" s="44" t="s">
        <v>7</v>
      </c>
      <c r="E955" s="44">
        <v>1</v>
      </c>
    </row>
    <row r="956" spans="1:5">
      <c r="A956" s="43" t="s">
        <v>3538</v>
      </c>
      <c r="B956" s="43" t="s">
        <v>4569</v>
      </c>
      <c r="C956" s="42" t="s">
        <v>4568</v>
      </c>
      <c r="D956" s="44" t="s">
        <v>7</v>
      </c>
      <c r="E956" s="44">
        <v>1</v>
      </c>
    </row>
    <row r="957" spans="1:5">
      <c r="A957" s="43" t="s">
        <v>3538</v>
      </c>
      <c r="B957" s="43" t="s">
        <v>4570</v>
      </c>
      <c r="C957" s="42" t="s">
        <v>4568</v>
      </c>
      <c r="D957" s="44" t="s">
        <v>7</v>
      </c>
      <c r="E957" s="44">
        <v>1</v>
      </c>
    </row>
    <row r="958" spans="1:5">
      <c r="A958" s="43" t="s">
        <v>3538</v>
      </c>
      <c r="B958" s="43" t="s">
        <v>4571</v>
      </c>
      <c r="C958" s="42" t="s">
        <v>4568</v>
      </c>
      <c r="D958" s="44" t="s">
        <v>7</v>
      </c>
      <c r="E958" s="44">
        <v>1</v>
      </c>
    </row>
    <row r="959" spans="1:5">
      <c r="A959" s="43" t="s">
        <v>3538</v>
      </c>
      <c r="B959" s="43" t="s">
        <v>4572</v>
      </c>
      <c r="C959" s="42" t="s">
        <v>4568</v>
      </c>
      <c r="D959" s="44" t="s">
        <v>7</v>
      </c>
      <c r="E959" s="44">
        <v>1</v>
      </c>
    </row>
    <row r="960" spans="1:5">
      <c r="A960" s="43" t="s">
        <v>3538</v>
      </c>
      <c r="B960" s="43" t="s">
        <v>4573</v>
      </c>
      <c r="C960" s="42" t="s">
        <v>4568</v>
      </c>
      <c r="D960" s="44" t="s">
        <v>7</v>
      </c>
      <c r="E960" s="44">
        <v>1</v>
      </c>
    </row>
    <row r="961" spans="1:5">
      <c r="A961" s="43" t="s">
        <v>3538</v>
      </c>
      <c r="B961" s="43" t="s">
        <v>4574</v>
      </c>
      <c r="C961" s="42" t="s">
        <v>4568</v>
      </c>
      <c r="D961" s="44" t="s">
        <v>7</v>
      </c>
      <c r="E961" s="44">
        <v>1</v>
      </c>
    </row>
    <row r="962" spans="1:5">
      <c r="A962" s="43" t="s">
        <v>3538</v>
      </c>
      <c r="B962" s="43" t="s">
        <v>4575</v>
      </c>
      <c r="C962" s="42" t="s">
        <v>4568</v>
      </c>
      <c r="D962" s="44" t="s">
        <v>7</v>
      </c>
      <c r="E962" s="44">
        <v>1</v>
      </c>
    </row>
    <row r="963" spans="1:5">
      <c r="A963" s="43" t="s">
        <v>3538</v>
      </c>
      <c r="B963" s="43" t="s">
        <v>4576</v>
      </c>
      <c r="C963" s="42" t="s">
        <v>362</v>
      </c>
      <c r="D963" s="44" t="s">
        <v>7</v>
      </c>
      <c r="E963" s="44">
        <v>1</v>
      </c>
    </row>
    <row r="964" spans="1:5">
      <c r="A964" s="43" t="s">
        <v>3538</v>
      </c>
      <c r="B964" s="43" t="s">
        <v>4577</v>
      </c>
      <c r="C964" s="42" t="s">
        <v>305</v>
      </c>
      <c r="D964" s="44" t="s">
        <v>7</v>
      </c>
      <c r="E964" s="44">
        <v>1</v>
      </c>
    </row>
    <row r="965" spans="1:5">
      <c r="A965" s="43" t="s">
        <v>3538</v>
      </c>
      <c r="B965" s="43">
        <v>1</v>
      </c>
      <c r="C965" s="48" t="s">
        <v>234</v>
      </c>
      <c r="D965" s="44" t="s">
        <v>7</v>
      </c>
      <c r="E965" s="44">
        <v>1</v>
      </c>
    </row>
    <row r="966" spans="1:5">
      <c r="A966" s="43" t="s">
        <v>3538</v>
      </c>
      <c r="B966" s="43">
        <v>2</v>
      </c>
      <c r="C966" s="48" t="s">
        <v>234</v>
      </c>
      <c r="D966" s="44" t="s">
        <v>7</v>
      </c>
      <c r="E966" s="44">
        <v>1</v>
      </c>
    </row>
    <row r="967" spans="1:5">
      <c r="A967" s="43" t="s">
        <v>3538</v>
      </c>
      <c r="B967" s="43">
        <v>3</v>
      </c>
      <c r="C967" s="48" t="s">
        <v>234</v>
      </c>
      <c r="D967" s="44" t="s">
        <v>7</v>
      </c>
      <c r="E967" s="44">
        <v>1</v>
      </c>
    </row>
    <row r="968" spans="1:5">
      <c r="A968" s="43" t="s">
        <v>3538</v>
      </c>
      <c r="B968" s="43">
        <v>4</v>
      </c>
      <c r="C968" s="48" t="s">
        <v>234</v>
      </c>
      <c r="D968" s="44" t="s">
        <v>7</v>
      </c>
      <c r="E968" s="44">
        <v>1</v>
      </c>
    </row>
    <row r="969" spans="1:5">
      <c r="A969" s="43" t="s">
        <v>3538</v>
      </c>
      <c r="B969" s="43">
        <v>5</v>
      </c>
      <c r="C969" s="48" t="s">
        <v>234</v>
      </c>
      <c r="D969" s="44" t="s">
        <v>7</v>
      </c>
      <c r="E969" s="44">
        <v>1</v>
      </c>
    </row>
    <row r="970" spans="1:5">
      <c r="A970" s="43" t="s">
        <v>3538</v>
      </c>
      <c r="B970" s="43">
        <v>6</v>
      </c>
      <c r="C970" s="48" t="s">
        <v>234</v>
      </c>
      <c r="D970" s="44" t="s">
        <v>7</v>
      </c>
      <c r="E970" s="44">
        <v>1</v>
      </c>
    </row>
    <row r="971" spans="1:5">
      <c r="A971" s="43" t="s">
        <v>3538</v>
      </c>
      <c r="B971" s="43">
        <v>7</v>
      </c>
      <c r="C971" s="48" t="s">
        <v>234</v>
      </c>
      <c r="D971" s="44" t="s">
        <v>7</v>
      </c>
      <c r="E971" s="44">
        <v>1</v>
      </c>
    </row>
    <row r="972" spans="1:5">
      <c r="A972" s="43" t="s">
        <v>3538</v>
      </c>
      <c r="B972" s="43">
        <v>8</v>
      </c>
      <c r="C972" s="48" t="s">
        <v>234</v>
      </c>
      <c r="D972" s="44" t="s">
        <v>7</v>
      </c>
      <c r="E972" s="44">
        <v>1</v>
      </c>
    </row>
    <row r="973" spans="1:5">
      <c r="A973" s="43" t="s">
        <v>3538</v>
      </c>
      <c r="B973" s="43">
        <v>9</v>
      </c>
      <c r="C973" s="48" t="s">
        <v>234</v>
      </c>
      <c r="D973" s="44" t="s">
        <v>7</v>
      </c>
      <c r="E973" s="44">
        <v>1</v>
      </c>
    </row>
    <row r="974" spans="1:5">
      <c r="A974" s="43" t="s">
        <v>3538</v>
      </c>
      <c r="B974" s="43">
        <v>10</v>
      </c>
      <c r="C974" s="48" t="s">
        <v>234</v>
      </c>
      <c r="D974" s="44" t="s">
        <v>7</v>
      </c>
      <c r="E974" s="44">
        <v>1</v>
      </c>
    </row>
    <row r="975" spans="1:5">
      <c r="A975" s="43" t="s">
        <v>3538</v>
      </c>
      <c r="B975" s="43">
        <v>11</v>
      </c>
      <c r="C975" s="48" t="s">
        <v>234</v>
      </c>
      <c r="D975" s="44" t="s">
        <v>7</v>
      </c>
      <c r="E975" s="44">
        <v>1</v>
      </c>
    </row>
    <row r="976" spans="1:5">
      <c r="A976" s="43" t="s">
        <v>3538</v>
      </c>
      <c r="B976" s="43">
        <v>12</v>
      </c>
      <c r="C976" s="48" t="s">
        <v>234</v>
      </c>
      <c r="D976" s="44" t="s">
        <v>7</v>
      </c>
      <c r="E976" s="44">
        <v>1</v>
      </c>
    </row>
    <row r="977" spans="1:5">
      <c r="A977" s="43" t="s">
        <v>3538</v>
      </c>
      <c r="B977" s="43">
        <v>13</v>
      </c>
      <c r="C977" s="48" t="s">
        <v>234</v>
      </c>
      <c r="D977" s="44" t="s">
        <v>7</v>
      </c>
      <c r="E977" s="44">
        <v>1</v>
      </c>
    </row>
    <row r="978" spans="1:5">
      <c r="A978" s="43" t="s">
        <v>3538</v>
      </c>
      <c r="B978" s="43">
        <v>14</v>
      </c>
      <c r="C978" s="48" t="s">
        <v>234</v>
      </c>
      <c r="D978" s="44" t="s">
        <v>7</v>
      </c>
      <c r="E978" s="44">
        <v>1</v>
      </c>
    </row>
    <row r="979" spans="1:5">
      <c r="A979" s="43" t="s">
        <v>3538</v>
      </c>
      <c r="B979" s="43">
        <v>15</v>
      </c>
      <c r="C979" s="48" t="s">
        <v>234</v>
      </c>
      <c r="D979" s="44" t="s">
        <v>7</v>
      </c>
      <c r="E979" s="44">
        <v>1</v>
      </c>
    </row>
    <row r="980" spans="1:5">
      <c r="A980" s="43" t="s">
        <v>3538</v>
      </c>
      <c r="B980" s="43">
        <v>16</v>
      </c>
      <c r="C980" s="48" t="s">
        <v>234</v>
      </c>
      <c r="D980" s="44" t="s">
        <v>7</v>
      </c>
      <c r="E980" s="44">
        <v>1</v>
      </c>
    </row>
    <row r="981" spans="1:5">
      <c r="A981" s="43" t="s">
        <v>3538</v>
      </c>
      <c r="B981" s="43">
        <v>17</v>
      </c>
      <c r="C981" s="48" t="s">
        <v>234</v>
      </c>
      <c r="D981" s="44" t="s">
        <v>7</v>
      </c>
      <c r="E981" s="44">
        <v>1</v>
      </c>
    </row>
    <row r="982" spans="1:5">
      <c r="A982" s="43" t="s">
        <v>3538</v>
      </c>
      <c r="B982" s="43">
        <v>18</v>
      </c>
      <c r="C982" s="48" t="s">
        <v>234</v>
      </c>
      <c r="D982" s="44" t="s">
        <v>7</v>
      </c>
      <c r="E982" s="44">
        <v>1</v>
      </c>
    </row>
    <row r="983" spans="1:5">
      <c r="A983" s="43" t="s">
        <v>3538</v>
      </c>
      <c r="B983" s="43">
        <v>19</v>
      </c>
      <c r="C983" s="48" t="s">
        <v>234</v>
      </c>
      <c r="D983" s="44" t="s">
        <v>7</v>
      </c>
      <c r="E983" s="44">
        <v>1</v>
      </c>
    </row>
    <row r="984" spans="1:5">
      <c r="A984" s="43" t="s">
        <v>3538</v>
      </c>
      <c r="B984" s="43">
        <v>20</v>
      </c>
      <c r="C984" s="48" t="s">
        <v>234</v>
      </c>
      <c r="D984" s="44" t="s">
        <v>7</v>
      </c>
      <c r="E984" s="44">
        <v>1</v>
      </c>
    </row>
    <row r="985" spans="1:5">
      <c r="A985" s="43" t="s">
        <v>3538</v>
      </c>
      <c r="B985" s="43">
        <v>21</v>
      </c>
      <c r="C985" s="48" t="s">
        <v>4578</v>
      </c>
      <c r="D985" s="44" t="s">
        <v>7</v>
      </c>
      <c r="E985" s="44">
        <v>1</v>
      </c>
    </row>
  </sheetData>
  <autoFilter xmlns:etc="http://www.wps.cn/officeDocument/2017/etCustomData" ref="A1:E985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0"/>
  <sheetViews>
    <sheetView zoomScale="120" zoomScaleNormal="120" workbookViewId="0">
      <selection activeCell="B1" sqref="B1"/>
    </sheetView>
  </sheetViews>
  <sheetFormatPr defaultColWidth="10" defaultRowHeight="13.5" outlineLevelCol="4"/>
  <cols>
    <col min="1" max="1" width="25.625" style="36" customWidth="1"/>
    <col min="2" max="2" width="9.375" style="37" customWidth="1"/>
    <col min="3" max="3" width="25.9083333333333" style="37" customWidth="1"/>
    <col min="4" max="4" width="13.2583333333333" style="37" customWidth="1"/>
    <col min="5" max="5" width="9.125" style="37" customWidth="1"/>
    <col min="6" max="254" width="10" style="38"/>
    <col min="255" max="255" width="25.625" style="38" customWidth="1"/>
    <col min="256" max="256" width="9.375" style="38" customWidth="1"/>
    <col min="257" max="257" width="20.375" style="38" customWidth="1"/>
    <col min="258" max="258" width="20.875" style="38" customWidth="1"/>
    <col min="259" max="259" width="8.875" style="38" customWidth="1"/>
    <col min="260" max="260" width="9.125" style="38" customWidth="1"/>
    <col min="261" max="510" width="10" style="38"/>
    <col min="511" max="511" width="25.625" style="38" customWidth="1"/>
    <col min="512" max="512" width="9.375" style="38" customWidth="1"/>
    <col min="513" max="513" width="20.375" style="38" customWidth="1"/>
    <col min="514" max="514" width="20.875" style="38" customWidth="1"/>
    <col min="515" max="515" width="8.875" style="38" customWidth="1"/>
    <col min="516" max="516" width="9.125" style="38" customWidth="1"/>
    <col min="517" max="766" width="10" style="38"/>
    <col min="767" max="767" width="25.625" style="38" customWidth="1"/>
    <col min="768" max="768" width="9.375" style="38" customWidth="1"/>
    <col min="769" max="769" width="20.375" style="38" customWidth="1"/>
    <col min="770" max="770" width="20.875" style="38" customWidth="1"/>
    <col min="771" max="771" width="8.875" style="38" customWidth="1"/>
    <col min="772" max="772" width="9.125" style="38" customWidth="1"/>
    <col min="773" max="1022" width="10" style="38"/>
    <col min="1023" max="1023" width="25.625" style="38" customWidth="1"/>
    <col min="1024" max="1024" width="9.375" style="38" customWidth="1"/>
    <col min="1025" max="1025" width="20.375" style="38" customWidth="1"/>
    <col min="1026" max="1026" width="20.875" style="38" customWidth="1"/>
    <col min="1027" max="1027" width="8.875" style="38" customWidth="1"/>
    <col min="1028" max="1028" width="9.125" style="38" customWidth="1"/>
    <col min="1029" max="1278" width="10" style="38"/>
    <col min="1279" max="1279" width="25.625" style="38" customWidth="1"/>
    <col min="1280" max="1280" width="9.375" style="38" customWidth="1"/>
    <col min="1281" max="1281" width="20.375" style="38" customWidth="1"/>
    <col min="1282" max="1282" width="20.875" style="38" customWidth="1"/>
    <col min="1283" max="1283" width="8.875" style="38" customWidth="1"/>
    <col min="1284" max="1284" width="9.125" style="38" customWidth="1"/>
    <col min="1285" max="1534" width="10" style="38"/>
    <col min="1535" max="1535" width="25.625" style="38" customWidth="1"/>
    <col min="1536" max="1536" width="9.375" style="38" customWidth="1"/>
    <col min="1537" max="1537" width="20.375" style="38" customWidth="1"/>
    <col min="1538" max="1538" width="20.875" style="38" customWidth="1"/>
    <col min="1539" max="1539" width="8.875" style="38" customWidth="1"/>
    <col min="1540" max="1540" width="9.125" style="38" customWidth="1"/>
    <col min="1541" max="1790" width="10" style="38"/>
    <col min="1791" max="1791" width="25.625" style="38" customWidth="1"/>
    <col min="1792" max="1792" width="9.375" style="38" customWidth="1"/>
    <col min="1793" max="1793" width="20.375" style="38" customWidth="1"/>
    <col min="1794" max="1794" width="20.875" style="38" customWidth="1"/>
    <col min="1795" max="1795" width="8.875" style="38" customWidth="1"/>
    <col min="1796" max="1796" width="9.125" style="38" customWidth="1"/>
    <col min="1797" max="2046" width="10" style="38"/>
    <col min="2047" max="2047" width="25.625" style="38" customWidth="1"/>
    <col min="2048" max="2048" width="9.375" style="38" customWidth="1"/>
    <col min="2049" max="2049" width="20.375" style="38" customWidth="1"/>
    <col min="2050" max="2050" width="20.875" style="38" customWidth="1"/>
    <col min="2051" max="2051" width="8.875" style="38" customWidth="1"/>
    <col min="2052" max="2052" width="9.125" style="38" customWidth="1"/>
    <col min="2053" max="2302" width="10" style="38"/>
    <col min="2303" max="2303" width="25.625" style="38" customWidth="1"/>
    <col min="2304" max="2304" width="9.375" style="38" customWidth="1"/>
    <col min="2305" max="2305" width="20.375" style="38" customWidth="1"/>
    <col min="2306" max="2306" width="20.875" style="38" customWidth="1"/>
    <col min="2307" max="2307" width="8.875" style="38" customWidth="1"/>
    <col min="2308" max="2308" width="9.125" style="38" customWidth="1"/>
    <col min="2309" max="2558" width="10" style="38"/>
    <col min="2559" max="2559" width="25.625" style="38" customWidth="1"/>
    <col min="2560" max="2560" width="9.375" style="38" customWidth="1"/>
    <col min="2561" max="2561" width="20.375" style="38" customWidth="1"/>
    <col min="2562" max="2562" width="20.875" style="38" customWidth="1"/>
    <col min="2563" max="2563" width="8.875" style="38" customWidth="1"/>
    <col min="2564" max="2564" width="9.125" style="38" customWidth="1"/>
    <col min="2565" max="2814" width="10" style="38"/>
    <col min="2815" max="2815" width="25.625" style="38" customWidth="1"/>
    <col min="2816" max="2816" width="9.375" style="38" customWidth="1"/>
    <col min="2817" max="2817" width="20.375" style="38" customWidth="1"/>
    <col min="2818" max="2818" width="20.875" style="38" customWidth="1"/>
    <col min="2819" max="2819" width="8.875" style="38" customWidth="1"/>
    <col min="2820" max="2820" width="9.125" style="38" customWidth="1"/>
    <col min="2821" max="3070" width="10" style="38"/>
    <col min="3071" max="3071" width="25.625" style="38" customWidth="1"/>
    <col min="3072" max="3072" width="9.375" style="38" customWidth="1"/>
    <col min="3073" max="3073" width="20.375" style="38" customWidth="1"/>
    <col min="3074" max="3074" width="20.875" style="38" customWidth="1"/>
    <col min="3075" max="3075" width="8.875" style="38" customWidth="1"/>
    <col min="3076" max="3076" width="9.125" style="38" customWidth="1"/>
    <col min="3077" max="3326" width="10" style="38"/>
    <col min="3327" max="3327" width="25.625" style="38" customWidth="1"/>
    <col min="3328" max="3328" width="9.375" style="38" customWidth="1"/>
    <col min="3329" max="3329" width="20.375" style="38" customWidth="1"/>
    <col min="3330" max="3330" width="20.875" style="38" customWidth="1"/>
    <col min="3331" max="3331" width="8.875" style="38" customWidth="1"/>
    <col min="3332" max="3332" width="9.125" style="38" customWidth="1"/>
    <col min="3333" max="3582" width="10" style="38"/>
    <col min="3583" max="3583" width="25.625" style="38" customWidth="1"/>
    <col min="3584" max="3584" width="9.375" style="38" customWidth="1"/>
    <col min="3585" max="3585" width="20.375" style="38" customWidth="1"/>
    <col min="3586" max="3586" width="20.875" style="38" customWidth="1"/>
    <col min="3587" max="3587" width="8.875" style="38" customWidth="1"/>
    <col min="3588" max="3588" width="9.125" style="38" customWidth="1"/>
    <col min="3589" max="3838" width="10" style="38"/>
    <col min="3839" max="3839" width="25.625" style="38" customWidth="1"/>
    <col min="3840" max="3840" width="9.375" style="38" customWidth="1"/>
    <col min="3841" max="3841" width="20.375" style="38" customWidth="1"/>
    <col min="3842" max="3842" width="20.875" style="38" customWidth="1"/>
    <col min="3843" max="3843" width="8.875" style="38" customWidth="1"/>
    <col min="3844" max="3844" width="9.125" style="38" customWidth="1"/>
    <col min="3845" max="4094" width="10" style="38"/>
    <col min="4095" max="4095" width="25.625" style="38" customWidth="1"/>
    <col min="4096" max="4096" width="9.375" style="38" customWidth="1"/>
    <col min="4097" max="4097" width="20.375" style="38" customWidth="1"/>
    <col min="4098" max="4098" width="20.875" style="38" customWidth="1"/>
    <col min="4099" max="4099" width="8.875" style="38" customWidth="1"/>
    <col min="4100" max="4100" width="9.125" style="38" customWidth="1"/>
    <col min="4101" max="4350" width="10" style="38"/>
    <col min="4351" max="4351" width="25.625" style="38" customWidth="1"/>
    <col min="4352" max="4352" width="9.375" style="38" customWidth="1"/>
    <col min="4353" max="4353" width="20.375" style="38" customWidth="1"/>
    <col min="4354" max="4354" width="20.875" style="38" customWidth="1"/>
    <col min="4355" max="4355" width="8.875" style="38" customWidth="1"/>
    <col min="4356" max="4356" width="9.125" style="38" customWidth="1"/>
    <col min="4357" max="4606" width="10" style="38"/>
    <col min="4607" max="4607" width="25.625" style="38" customWidth="1"/>
    <col min="4608" max="4608" width="9.375" style="38" customWidth="1"/>
    <col min="4609" max="4609" width="20.375" style="38" customWidth="1"/>
    <col min="4610" max="4610" width="20.875" style="38" customWidth="1"/>
    <col min="4611" max="4611" width="8.875" style="38" customWidth="1"/>
    <col min="4612" max="4612" width="9.125" style="38" customWidth="1"/>
    <col min="4613" max="4862" width="10" style="38"/>
    <col min="4863" max="4863" width="25.625" style="38" customWidth="1"/>
    <col min="4864" max="4864" width="9.375" style="38" customWidth="1"/>
    <col min="4865" max="4865" width="20.375" style="38" customWidth="1"/>
    <col min="4866" max="4866" width="20.875" style="38" customWidth="1"/>
    <col min="4867" max="4867" width="8.875" style="38" customWidth="1"/>
    <col min="4868" max="4868" width="9.125" style="38" customWidth="1"/>
    <col min="4869" max="5118" width="10" style="38"/>
    <col min="5119" max="5119" width="25.625" style="38" customWidth="1"/>
    <col min="5120" max="5120" width="9.375" style="38" customWidth="1"/>
    <col min="5121" max="5121" width="20.375" style="38" customWidth="1"/>
    <col min="5122" max="5122" width="20.875" style="38" customWidth="1"/>
    <col min="5123" max="5123" width="8.875" style="38" customWidth="1"/>
    <col min="5124" max="5124" width="9.125" style="38" customWidth="1"/>
    <col min="5125" max="5374" width="10" style="38"/>
    <col min="5375" max="5375" width="25.625" style="38" customWidth="1"/>
    <col min="5376" max="5376" width="9.375" style="38" customWidth="1"/>
    <col min="5377" max="5377" width="20.375" style="38" customWidth="1"/>
    <col min="5378" max="5378" width="20.875" style="38" customWidth="1"/>
    <col min="5379" max="5379" width="8.875" style="38" customWidth="1"/>
    <col min="5380" max="5380" width="9.125" style="38" customWidth="1"/>
    <col min="5381" max="5630" width="10" style="38"/>
    <col min="5631" max="5631" width="25.625" style="38" customWidth="1"/>
    <col min="5632" max="5632" width="9.375" style="38" customWidth="1"/>
    <col min="5633" max="5633" width="20.375" style="38" customWidth="1"/>
    <col min="5634" max="5634" width="20.875" style="38" customWidth="1"/>
    <col min="5635" max="5635" width="8.875" style="38" customWidth="1"/>
    <col min="5636" max="5636" width="9.125" style="38" customWidth="1"/>
    <col min="5637" max="5886" width="10" style="38"/>
    <col min="5887" max="5887" width="25.625" style="38" customWidth="1"/>
    <col min="5888" max="5888" width="9.375" style="38" customWidth="1"/>
    <col min="5889" max="5889" width="20.375" style="38" customWidth="1"/>
    <col min="5890" max="5890" width="20.875" style="38" customWidth="1"/>
    <col min="5891" max="5891" width="8.875" style="38" customWidth="1"/>
    <col min="5892" max="5892" width="9.125" style="38" customWidth="1"/>
    <col min="5893" max="6142" width="10" style="38"/>
    <col min="6143" max="6143" width="25.625" style="38" customWidth="1"/>
    <col min="6144" max="6144" width="9.375" style="38" customWidth="1"/>
    <col min="6145" max="6145" width="20.375" style="38" customWidth="1"/>
    <col min="6146" max="6146" width="20.875" style="38" customWidth="1"/>
    <col min="6147" max="6147" width="8.875" style="38" customWidth="1"/>
    <col min="6148" max="6148" width="9.125" style="38" customWidth="1"/>
    <col min="6149" max="6398" width="10" style="38"/>
    <col min="6399" max="6399" width="25.625" style="38" customWidth="1"/>
    <col min="6400" max="6400" width="9.375" style="38" customWidth="1"/>
    <col min="6401" max="6401" width="20.375" style="38" customWidth="1"/>
    <col min="6402" max="6402" width="20.875" style="38" customWidth="1"/>
    <col min="6403" max="6403" width="8.875" style="38" customWidth="1"/>
    <col min="6404" max="6404" width="9.125" style="38" customWidth="1"/>
    <col min="6405" max="6654" width="10" style="38"/>
    <col min="6655" max="6655" width="25.625" style="38" customWidth="1"/>
    <col min="6656" max="6656" width="9.375" style="38" customWidth="1"/>
    <col min="6657" max="6657" width="20.375" style="38" customWidth="1"/>
    <col min="6658" max="6658" width="20.875" style="38" customWidth="1"/>
    <col min="6659" max="6659" width="8.875" style="38" customWidth="1"/>
    <col min="6660" max="6660" width="9.125" style="38" customWidth="1"/>
    <col min="6661" max="6910" width="10" style="38"/>
    <col min="6911" max="6911" width="25.625" style="38" customWidth="1"/>
    <col min="6912" max="6912" width="9.375" style="38" customWidth="1"/>
    <col min="6913" max="6913" width="20.375" style="38" customWidth="1"/>
    <col min="6914" max="6914" width="20.875" style="38" customWidth="1"/>
    <col min="6915" max="6915" width="8.875" style="38" customWidth="1"/>
    <col min="6916" max="6916" width="9.125" style="38" customWidth="1"/>
    <col min="6917" max="7166" width="10" style="38"/>
    <col min="7167" max="7167" width="25.625" style="38" customWidth="1"/>
    <col min="7168" max="7168" width="9.375" style="38" customWidth="1"/>
    <col min="7169" max="7169" width="20.375" style="38" customWidth="1"/>
    <col min="7170" max="7170" width="20.875" style="38" customWidth="1"/>
    <col min="7171" max="7171" width="8.875" style="38" customWidth="1"/>
    <col min="7172" max="7172" width="9.125" style="38" customWidth="1"/>
    <col min="7173" max="7422" width="10" style="38"/>
    <col min="7423" max="7423" width="25.625" style="38" customWidth="1"/>
    <col min="7424" max="7424" width="9.375" style="38" customWidth="1"/>
    <col min="7425" max="7425" width="20.375" style="38" customWidth="1"/>
    <col min="7426" max="7426" width="20.875" style="38" customWidth="1"/>
    <col min="7427" max="7427" width="8.875" style="38" customWidth="1"/>
    <col min="7428" max="7428" width="9.125" style="38" customWidth="1"/>
    <col min="7429" max="7678" width="10" style="38"/>
    <col min="7679" max="7679" width="25.625" style="38" customWidth="1"/>
    <col min="7680" max="7680" width="9.375" style="38" customWidth="1"/>
    <col min="7681" max="7681" width="20.375" style="38" customWidth="1"/>
    <col min="7682" max="7682" width="20.875" style="38" customWidth="1"/>
    <col min="7683" max="7683" width="8.875" style="38" customWidth="1"/>
    <col min="7684" max="7684" width="9.125" style="38" customWidth="1"/>
    <col min="7685" max="7934" width="10" style="38"/>
    <col min="7935" max="7935" width="25.625" style="38" customWidth="1"/>
    <col min="7936" max="7936" width="9.375" style="38" customWidth="1"/>
    <col min="7937" max="7937" width="20.375" style="38" customWidth="1"/>
    <col min="7938" max="7938" width="20.875" style="38" customWidth="1"/>
    <col min="7939" max="7939" width="8.875" style="38" customWidth="1"/>
    <col min="7940" max="7940" width="9.125" style="38" customWidth="1"/>
    <col min="7941" max="8190" width="10" style="38"/>
    <col min="8191" max="8191" width="25.625" style="38" customWidth="1"/>
    <col min="8192" max="8192" width="9.375" style="38" customWidth="1"/>
    <col min="8193" max="8193" width="20.375" style="38" customWidth="1"/>
    <col min="8194" max="8194" width="20.875" style="38" customWidth="1"/>
    <col min="8195" max="8195" width="8.875" style="38" customWidth="1"/>
    <col min="8196" max="8196" width="9.125" style="38" customWidth="1"/>
    <col min="8197" max="8446" width="10" style="38"/>
    <col min="8447" max="8447" width="25.625" style="38" customWidth="1"/>
    <col min="8448" max="8448" width="9.375" style="38" customWidth="1"/>
    <col min="8449" max="8449" width="20.375" style="38" customWidth="1"/>
    <col min="8450" max="8450" width="20.875" style="38" customWidth="1"/>
    <col min="8451" max="8451" width="8.875" style="38" customWidth="1"/>
    <col min="8452" max="8452" width="9.125" style="38" customWidth="1"/>
    <col min="8453" max="8702" width="10" style="38"/>
    <col min="8703" max="8703" width="25.625" style="38" customWidth="1"/>
    <col min="8704" max="8704" width="9.375" style="38" customWidth="1"/>
    <col min="8705" max="8705" width="20.375" style="38" customWidth="1"/>
    <col min="8706" max="8706" width="20.875" style="38" customWidth="1"/>
    <col min="8707" max="8707" width="8.875" style="38" customWidth="1"/>
    <col min="8708" max="8708" width="9.125" style="38" customWidth="1"/>
    <col min="8709" max="8958" width="10" style="38"/>
    <col min="8959" max="8959" width="25.625" style="38" customWidth="1"/>
    <col min="8960" max="8960" width="9.375" style="38" customWidth="1"/>
    <col min="8961" max="8961" width="20.375" style="38" customWidth="1"/>
    <col min="8962" max="8962" width="20.875" style="38" customWidth="1"/>
    <col min="8963" max="8963" width="8.875" style="38" customWidth="1"/>
    <col min="8964" max="8964" width="9.125" style="38" customWidth="1"/>
    <col min="8965" max="9214" width="10" style="38"/>
    <col min="9215" max="9215" width="25.625" style="38" customWidth="1"/>
    <col min="9216" max="9216" width="9.375" style="38" customWidth="1"/>
    <col min="9217" max="9217" width="20.375" style="38" customWidth="1"/>
    <col min="9218" max="9218" width="20.875" style="38" customWidth="1"/>
    <col min="9219" max="9219" width="8.875" style="38" customWidth="1"/>
    <col min="9220" max="9220" width="9.125" style="38" customWidth="1"/>
    <col min="9221" max="9470" width="10" style="38"/>
    <col min="9471" max="9471" width="25.625" style="38" customWidth="1"/>
    <col min="9472" max="9472" width="9.375" style="38" customWidth="1"/>
    <col min="9473" max="9473" width="20.375" style="38" customWidth="1"/>
    <col min="9474" max="9474" width="20.875" style="38" customWidth="1"/>
    <col min="9475" max="9475" width="8.875" style="38" customWidth="1"/>
    <col min="9476" max="9476" width="9.125" style="38" customWidth="1"/>
    <col min="9477" max="9726" width="10" style="38"/>
    <col min="9727" max="9727" width="25.625" style="38" customWidth="1"/>
    <col min="9728" max="9728" width="9.375" style="38" customWidth="1"/>
    <col min="9729" max="9729" width="20.375" style="38" customWidth="1"/>
    <col min="9730" max="9730" width="20.875" style="38" customWidth="1"/>
    <col min="9731" max="9731" width="8.875" style="38" customWidth="1"/>
    <col min="9732" max="9732" width="9.125" style="38" customWidth="1"/>
    <col min="9733" max="9982" width="10" style="38"/>
    <col min="9983" max="9983" width="25.625" style="38" customWidth="1"/>
    <col min="9984" max="9984" width="9.375" style="38" customWidth="1"/>
    <col min="9985" max="9985" width="20.375" style="38" customWidth="1"/>
    <col min="9986" max="9986" width="20.875" style="38" customWidth="1"/>
    <col min="9987" max="9987" width="8.875" style="38" customWidth="1"/>
    <col min="9988" max="9988" width="9.125" style="38" customWidth="1"/>
    <col min="9989" max="10238" width="10" style="38"/>
    <col min="10239" max="10239" width="25.625" style="38" customWidth="1"/>
    <col min="10240" max="10240" width="9.375" style="38" customWidth="1"/>
    <col min="10241" max="10241" width="20.375" style="38" customWidth="1"/>
    <col min="10242" max="10242" width="20.875" style="38" customWidth="1"/>
    <col min="10243" max="10243" width="8.875" style="38" customWidth="1"/>
    <col min="10244" max="10244" width="9.125" style="38" customWidth="1"/>
    <col min="10245" max="10494" width="10" style="38"/>
    <col min="10495" max="10495" width="25.625" style="38" customWidth="1"/>
    <col min="10496" max="10496" width="9.375" style="38" customWidth="1"/>
    <col min="10497" max="10497" width="20.375" style="38" customWidth="1"/>
    <col min="10498" max="10498" width="20.875" style="38" customWidth="1"/>
    <col min="10499" max="10499" width="8.875" style="38" customWidth="1"/>
    <col min="10500" max="10500" width="9.125" style="38" customWidth="1"/>
    <col min="10501" max="10750" width="10" style="38"/>
    <col min="10751" max="10751" width="25.625" style="38" customWidth="1"/>
    <col min="10752" max="10752" width="9.375" style="38" customWidth="1"/>
    <col min="10753" max="10753" width="20.375" style="38" customWidth="1"/>
    <col min="10754" max="10754" width="20.875" style="38" customWidth="1"/>
    <col min="10755" max="10755" width="8.875" style="38" customWidth="1"/>
    <col min="10756" max="10756" width="9.125" style="38" customWidth="1"/>
    <col min="10757" max="11006" width="10" style="38"/>
    <col min="11007" max="11007" width="25.625" style="38" customWidth="1"/>
    <col min="11008" max="11008" width="9.375" style="38" customWidth="1"/>
    <col min="11009" max="11009" width="20.375" style="38" customWidth="1"/>
    <col min="11010" max="11010" width="20.875" style="38" customWidth="1"/>
    <col min="11011" max="11011" width="8.875" style="38" customWidth="1"/>
    <col min="11012" max="11012" width="9.125" style="38" customWidth="1"/>
    <col min="11013" max="11262" width="10" style="38"/>
    <col min="11263" max="11263" width="25.625" style="38" customWidth="1"/>
    <col min="11264" max="11264" width="9.375" style="38" customWidth="1"/>
    <col min="11265" max="11265" width="20.375" style="38" customWidth="1"/>
    <col min="11266" max="11266" width="20.875" style="38" customWidth="1"/>
    <col min="11267" max="11267" width="8.875" style="38" customWidth="1"/>
    <col min="11268" max="11268" width="9.125" style="38" customWidth="1"/>
    <col min="11269" max="11518" width="10" style="38"/>
    <col min="11519" max="11519" width="25.625" style="38" customWidth="1"/>
    <col min="11520" max="11520" width="9.375" style="38" customWidth="1"/>
    <col min="11521" max="11521" width="20.375" style="38" customWidth="1"/>
    <col min="11522" max="11522" width="20.875" style="38" customWidth="1"/>
    <col min="11523" max="11523" width="8.875" style="38" customWidth="1"/>
    <col min="11524" max="11524" width="9.125" style="38" customWidth="1"/>
    <col min="11525" max="11774" width="10" style="38"/>
    <col min="11775" max="11775" width="25.625" style="38" customWidth="1"/>
    <col min="11776" max="11776" width="9.375" style="38" customWidth="1"/>
    <col min="11777" max="11777" width="20.375" style="38" customWidth="1"/>
    <col min="11778" max="11778" width="20.875" style="38" customWidth="1"/>
    <col min="11779" max="11779" width="8.875" style="38" customWidth="1"/>
    <col min="11780" max="11780" width="9.125" style="38" customWidth="1"/>
    <col min="11781" max="12030" width="10" style="38"/>
    <col min="12031" max="12031" width="25.625" style="38" customWidth="1"/>
    <col min="12032" max="12032" width="9.375" style="38" customWidth="1"/>
    <col min="12033" max="12033" width="20.375" style="38" customWidth="1"/>
    <col min="12034" max="12034" width="20.875" style="38" customWidth="1"/>
    <col min="12035" max="12035" width="8.875" style="38" customWidth="1"/>
    <col min="12036" max="12036" width="9.125" style="38" customWidth="1"/>
    <col min="12037" max="12286" width="10" style="38"/>
    <col min="12287" max="12287" width="25.625" style="38" customWidth="1"/>
    <col min="12288" max="12288" width="9.375" style="38" customWidth="1"/>
    <col min="12289" max="12289" width="20.375" style="38" customWidth="1"/>
    <col min="12290" max="12290" width="20.875" style="38" customWidth="1"/>
    <col min="12291" max="12291" width="8.875" style="38" customWidth="1"/>
    <col min="12292" max="12292" width="9.125" style="38" customWidth="1"/>
    <col min="12293" max="12542" width="10" style="38"/>
    <col min="12543" max="12543" width="25.625" style="38" customWidth="1"/>
    <col min="12544" max="12544" width="9.375" style="38" customWidth="1"/>
    <col min="12545" max="12545" width="20.375" style="38" customWidth="1"/>
    <col min="12546" max="12546" width="20.875" style="38" customWidth="1"/>
    <col min="12547" max="12547" width="8.875" style="38" customWidth="1"/>
    <col min="12548" max="12548" width="9.125" style="38" customWidth="1"/>
    <col min="12549" max="12798" width="10" style="38"/>
    <col min="12799" max="12799" width="25.625" style="38" customWidth="1"/>
    <col min="12800" max="12800" width="9.375" style="38" customWidth="1"/>
    <col min="12801" max="12801" width="20.375" style="38" customWidth="1"/>
    <col min="12802" max="12802" width="20.875" style="38" customWidth="1"/>
    <col min="12803" max="12803" width="8.875" style="38" customWidth="1"/>
    <col min="12804" max="12804" width="9.125" style="38" customWidth="1"/>
    <col min="12805" max="13054" width="10" style="38"/>
    <col min="13055" max="13055" width="25.625" style="38" customWidth="1"/>
    <col min="13056" max="13056" width="9.375" style="38" customWidth="1"/>
    <col min="13057" max="13057" width="20.375" style="38" customWidth="1"/>
    <col min="13058" max="13058" width="20.875" style="38" customWidth="1"/>
    <col min="13059" max="13059" width="8.875" style="38" customWidth="1"/>
    <col min="13060" max="13060" width="9.125" style="38" customWidth="1"/>
    <col min="13061" max="13310" width="10" style="38"/>
    <col min="13311" max="13311" width="25.625" style="38" customWidth="1"/>
    <col min="13312" max="13312" width="9.375" style="38" customWidth="1"/>
    <col min="13313" max="13313" width="20.375" style="38" customWidth="1"/>
    <col min="13314" max="13314" width="20.875" style="38" customWidth="1"/>
    <col min="13315" max="13315" width="8.875" style="38" customWidth="1"/>
    <col min="13316" max="13316" width="9.125" style="38" customWidth="1"/>
    <col min="13317" max="13566" width="10" style="38"/>
    <col min="13567" max="13567" width="25.625" style="38" customWidth="1"/>
    <col min="13568" max="13568" width="9.375" style="38" customWidth="1"/>
    <col min="13569" max="13569" width="20.375" style="38" customWidth="1"/>
    <col min="13570" max="13570" width="20.875" style="38" customWidth="1"/>
    <col min="13571" max="13571" width="8.875" style="38" customWidth="1"/>
    <col min="13572" max="13572" width="9.125" style="38" customWidth="1"/>
    <col min="13573" max="13822" width="10" style="38"/>
    <col min="13823" max="13823" width="25.625" style="38" customWidth="1"/>
    <col min="13824" max="13824" width="9.375" style="38" customWidth="1"/>
    <col min="13825" max="13825" width="20.375" style="38" customWidth="1"/>
    <col min="13826" max="13826" width="20.875" style="38" customWidth="1"/>
    <col min="13827" max="13827" width="8.875" style="38" customWidth="1"/>
    <col min="13828" max="13828" width="9.125" style="38" customWidth="1"/>
    <col min="13829" max="14078" width="10" style="38"/>
    <col min="14079" max="14079" width="25.625" style="38" customWidth="1"/>
    <col min="14080" max="14080" width="9.375" style="38" customWidth="1"/>
    <col min="14081" max="14081" width="20.375" style="38" customWidth="1"/>
    <col min="14082" max="14082" width="20.875" style="38" customWidth="1"/>
    <col min="14083" max="14083" width="8.875" style="38" customWidth="1"/>
    <col min="14084" max="14084" width="9.125" style="38" customWidth="1"/>
    <col min="14085" max="14334" width="10" style="38"/>
    <col min="14335" max="14335" width="25.625" style="38" customWidth="1"/>
    <col min="14336" max="14336" width="9.375" style="38" customWidth="1"/>
    <col min="14337" max="14337" width="20.375" style="38" customWidth="1"/>
    <col min="14338" max="14338" width="20.875" style="38" customWidth="1"/>
    <col min="14339" max="14339" width="8.875" style="38" customWidth="1"/>
    <col min="14340" max="14340" width="9.125" style="38" customWidth="1"/>
    <col min="14341" max="14590" width="10" style="38"/>
    <col min="14591" max="14591" width="25.625" style="38" customWidth="1"/>
    <col min="14592" max="14592" width="9.375" style="38" customWidth="1"/>
    <col min="14593" max="14593" width="20.375" style="38" customWidth="1"/>
    <col min="14594" max="14594" width="20.875" style="38" customWidth="1"/>
    <col min="14595" max="14595" width="8.875" style="38" customWidth="1"/>
    <col min="14596" max="14596" width="9.125" style="38" customWidth="1"/>
    <col min="14597" max="14846" width="10" style="38"/>
    <col min="14847" max="14847" width="25.625" style="38" customWidth="1"/>
    <col min="14848" max="14848" width="9.375" style="38" customWidth="1"/>
    <col min="14849" max="14849" width="20.375" style="38" customWidth="1"/>
    <col min="14850" max="14850" width="20.875" style="38" customWidth="1"/>
    <col min="14851" max="14851" width="8.875" style="38" customWidth="1"/>
    <col min="14852" max="14852" width="9.125" style="38" customWidth="1"/>
    <col min="14853" max="15102" width="10" style="38"/>
    <col min="15103" max="15103" width="25.625" style="38" customWidth="1"/>
    <col min="15104" max="15104" width="9.375" style="38" customWidth="1"/>
    <col min="15105" max="15105" width="20.375" style="38" customWidth="1"/>
    <col min="15106" max="15106" width="20.875" style="38" customWidth="1"/>
    <col min="15107" max="15107" width="8.875" style="38" customWidth="1"/>
    <col min="15108" max="15108" width="9.125" style="38" customWidth="1"/>
    <col min="15109" max="15358" width="10" style="38"/>
    <col min="15359" max="15359" width="25.625" style="38" customWidth="1"/>
    <col min="15360" max="15360" width="9.375" style="38" customWidth="1"/>
    <col min="15361" max="15361" width="20.375" style="38" customWidth="1"/>
    <col min="15362" max="15362" width="20.875" style="38" customWidth="1"/>
    <col min="15363" max="15363" width="8.875" style="38" customWidth="1"/>
    <col min="15364" max="15364" width="9.125" style="38" customWidth="1"/>
    <col min="15365" max="15614" width="10" style="38"/>
    <col min="15615" max="15615" width="25.625" style="38" customWidth="1"/>
    <col min="15616" max="15616" width="9.375" style="38" customWidth="1"/>
    <col min="15617" max="15617" width="20.375" style="38" customWidth="1"/>
    <col min="15618" max="15618" width="20.875" style="38" customWidth="1"/>
    <col min="15619" max="15619" width="8.875" style="38" customWidth="1"/>
    <col min="15620" max="15620" width="9.125" style="38" customWidth="1"/>
    <col min="15621" max="15870" width="10" style="38"/>
    <col min="15871" max="15871" width="25.625" style="38" customWidth="1"/>
    <col min="15872" max="15872" width="9.375" style="38" customWidth="1"/>
    <col min="15873" max="15873" width="20.375" style="38" customWidth="1"/>
    <col min="15874" max="15874" width="20.875" style="38" customWidth="1"/>
    <col min="15875" max="15875" width="8.875" style="38" customWidth="1"/>
    <col min="15876" max="15876" width="9.125" style="38" customWidth="1"/>
    <col min="15877" max="16126" width="10" style="38"/>
    <col min="16127" max="16127" width="25.625" style="38" customWidth="1"/>
    <col min="16128" max="16128" width="9.375" style="38" customWidth="1"/>
    <col min="16129" max="16129" width="20.375" style="38" customWidth="1"/>
    <col min="16130" max="16130" width="20.875" style="38" customWidth="1"/>
    <col min="16131" max="16131" width="8.875" style="38" customWidth="1"/>
    <col min="16132" max="16132" width="9.125" style="38" customWidth="1"/>
    <col min="16133" max="16384" width="10" style="38"/>
  </cols>
  <sheetData>
    <row r="1" ht="12" customHeight="1" spans="1:5">
      <c r="A1" s="30" t="s">
        <v>0</v>
      </c>
      <c r="B1" s="39" t="s">
        <v>1</v>
      </c>
      <c r="C1" s="39" t="s">
        <v>2</v>
      </c>
      <c r="D1" s="39" t="s">
        <v>3</v>
      </c>
      <c r="E1" s="39" t="s">
        <v>4</v>
      </c>
    </row>
    <row r="2" spans="1:5">
      <c r="A2" s="39" t="s">
        <v>4579</v>
      </c>
      <c r="B2" s="39" t="s">
        <v>4580</v>
      </c>
      <c r="C2" s="39" t="s">
        <v>305</v>
      </c>
      <c r="D2" s="39" t="s">
        <v>7</v>
      </c>
      <c r="E2" s="39">
        <v>1</v>
      </c>
    </row>
    <row r="3" spans="1:5">
      <c r="A3" s="39" t="s">
        <v>4579</v>
      </c>
      <c r="B3" s="39" t="s">
        <v>4581</v>
      </c>
      <c r="C3" s="39" t="s">
        <v>4582</v>
      </c>
      <c r="D3" s="39" t="s">
        <v>7</v>
      </c>
      <c r="E3" s="39">
        <v>1</v>
      </c>
    </row>
    <row r="4" spans="1:5">
      <c r="A4" s="39" t="s">
        <v>4579</v>
      </c>
      <c r="B4" s="39" t="s">
        <v>4583</v>
      </c>
      <c r="C4" s="39" t="s">
        <v>4584</v>
      </c>
      <c r="D4" s="39" t="s">
        <v>7</v>
      </c>
      <c r="E4" s="39">
        <v>1</v>
      </c>
    </row>
    <row r="5" spans="1:5">
      <c r="A5" s="39" t="s">
        <v>4579</v>
      </c>
      <c r="B5" s="39" t="s">
        <v>4585</v>
      </c>
      <c r="C5" s="39" t="s">
        <v>4586</v>
      </c>
      <c r="D5" s="39" t="s">
        <v>7</v>
      </c>
      <c r="E5" s="39">
        <v>1</v>
      </c>
    </row>
    <row r="6" spans="1:5">
      <c r="A6" s="39" t="s">
        <v>4579</v>
      </c>
      <c r="B6" s="39" t="s">
        <v>4587</v>
      </c>
      <c r="C6" s="39" t="s">
        <v>4586</v>
      </c>
      <c r="D6" s="39" t="s">
        <v>7</v>
      </c>
      <c r="E6" s="39">
        <v>1</v>
      </c>
    </row>
    <row r="7" spans="1:5">
      <c r="A7" s="39" t="s">
        <v>4579</v>
      </c>
      <c r="B7" s="39" t="s">
        <v>4588</v>
      </c>
      <c r="C7" s="39" t="s">
        <v>4589</v>
      </c>
      <c r="D7" s="39" t="s">
        <v>7</v>
      </c>
      <c r="E7" s="39">
        <v>1</v>
      </c>
    </row>
    <row r="8" spans="1:5">
      <c r="A8" s="39" t="s">
        <v>4579</v>
      </c>
      <c r="B8" s="39" t="s">
        <v>4590</v>
      </c>
      <c r="C8" s="39" t="s">
        <v>4589</v>
      </c>
      <c r="D8" s="39" t="s">
        <v>7</v>
      </c>
      <c r="E8" s="39">
        <v>1</v>
      </c>
    </row>
    <row r="9" spans="1:5">
      <c r="A9" s="39" t="s">
        <v>4579</v>
      </c>
      <c r="B9" s="39" t="s">
        <v>4591</v>
      </c>
      <c r="C9" s="39" t="s">
        <v>4592</v>
      </c>
      <c r="D9" s="39" t="s">
        <v>7</v>
      </c>
      <c r="E9" s="39">
        <v>1</v>
      </c>
    </row>
    <row r="10" ht="15.95" customHeight="1" spans="1:5">
      <c r="A10" s="39" t="s">
        <v>4579</v>
      </c>
      <c r="B10" s="39" t="s">
        <v>4593</v>
      </c>
      <c r="C10" s="39" t="s">
        <v>35</v>
      </c>
      <c r="D10" s="39" t="s">
        <v>7</v>
      </c>
      <c r="E10" s="39">
        <v>1</v>
      </c>
    </row>
    <row r="11" spans="1:5">
      <c r="A11" s="39" t="s">
        <v>4579</v>
      </c>
      <c r="B11" s="39" t="s">
        <v>4594</v>
      </c>
      <c r="C11" s="39" t="s">
        <v>4595</v>
      </c>
      <c r="D11" s="39" t="s">
        <v>7</v>
      </c>
      <c r="E11" s="39">
        <v>1</v>
      </c>
    </row>
    <row r="12" spans="1:5">
      <c r="A12" s="39" t="s">
        <v>4579</v>
      </c>
      <c r="B12" s="39" t="s">
        <v>4596</v>
      </c>
      <c r="C12" s="39" t="s">
        <v>4595</v>
      </c>
      <c r="D12" s="39" t="s">
        <v>7</v>
      </c>
      <c r="E12" s="39">
        <v>1</v>
      </c>
    </row>
    <row r="13" spans="1:5">
      <c r="A13" s="39" t="s">
        <v>4579</v>
      </c>
      <c r="B13" s="39" t="s">
        <v>4597</v>
      </c>
      <c r="C13" s="39" t="s">
        <v>4592</v>
      </c>
      <c r="D13" s="39" t="s">
        <v>7</v>
      </c>
      <c r="E13" s="39">
        <v>1</v>
      </c>
    </row>
    <row r="14" spans="1:5">
      <c r="A14" s="39" t="s">
        <v>4579</v>
      </c>
      <c r="B14" s="39" t="s">
        <v>4598</v>
      </c>
      <c r="C14" s="39" t="s">
        <v>4592</v>
      </c>
      <c r="D14" s="39" t="s">
        <v>7</v>
      </c>
      <c r="E14" s="39">
        <v>1</v>
      </c>
    </row>
    <row r="15" spans="1:5">
      <c r="A15" s="39" t="s">
        <v>4579</v>
      </c>
      <c r="B15" s="39" t="s">
        <v>4599</v>
      </c>
      <c r="C15" s="39" t="s">
        <v>4600</v>
      </c>
      <c r="D15" s="39" t="s">
        <v>7</v>
      </c>
      <c r="E15" s="39">
        <v>1</v>
      </c>
    </row>
    <row r="16" spans="1:5">
      <c r="A16" s="39" t="s">
        <v>4579</v>
      </c>
      <c r="B16" s="39" t="s">
        <v>4601</v>
      </c>
      <c r="C16" s="39" t="s">
        <v>4602</v>
      </c>
      <c r="D16" s="39" t="s">
        <v>7</v>
      </c>
      <c r="E16" s="39">
        <v>1</v>
      </c>
    </row>
    <row r="17" spans="1:5">
      <c r="A17" s="39" t="s">
        <v>4579</v>
      </c>
      <c r="B17" s="39" t="s">
        <v>4603</v>
      </c>
      <c r="C17" s="39" t="s">
        <v>4602</v>
      </c>
      <c r="D17" s="39" t="s">
        <v>7</v>
      </c>
      <c r="E17" s="39">
        <v>1</v>
      </c>
    </row>
    <row r="18" spans="1:5">
      <c r="A18" s="39" t="s">
        <v>4579</v>
      </c>
      <c r="B18" s="39" t="s">
        <v>4604</v>
      </c>
      <c r="C18" s="39" t="s">
        <v>305</v>
      </c>
      <c r="D18" s="39" t="s">
        <v>7</v>
      </c>
      <c r="E18" s="39">
        <v>1</v>
      </c>
    </row>
    <row r="19" spans="1:5">
      <c r="A19" s="39" t="s">
        <v>4579</v>
      </c>
      <c r="B19" s="39">
        <v>20140102</v>
      </c>
      <c r="C19" s="39" t="s">
        <v>3574</v>
      </c>
      <c r="D19" s="39" t="s">
        <v>7</v>
      </c>
      <c r="E19" s="39">
        <v>1</v>
      </c>
    </row>
    <row r="20" spans="1:5">
      <c r="A20" s="39" t="s">
        <v>4579</v>
      </c>
      <c r="B20" s="39" t="s">
        <v>4605</v>
      </c>
      <c r="C20" s="39" t="s">
        <v>337</v>
      </c>
      <c r="D20" s="39" t="s">
        <v>7</v>
      </c>
      <c r="E20" s="39">
        <v>1</v>
      </c>
    </row>
    <row r="21" spans="1:5">
      <c r="A21" s="39" t="s">
        <v>4579</v>
      </c>
      <c r="B21" s="39" t="s">
        <v>4606</v>
      </c>
      <c r="C21" s="39" t="s">
        <v>305</v>
      </c>
      <c r="D21" s="39" t="s">
        <v>7</v>
      </c>
      <c r="E21" s="39">
        <v>1</v>
      </c>
    </row>
    <row r="22" spans="1:5">
      <c r="A22" s="39" t="s">
        <v>4579</v>
      </c>
      <c r="B22" s="39" t="s">
        <v>4607</v>
      </c>
      <c r="C22" s="39" t="s">
        <v>305</v>
      </c>
      <c r="D22" s="39" t="s">
        <v>7</v>
      </c>
      <c r="E22" s="39">
        <v>1</v>
      </c>
    </row>
    <row r="23" spans="1:5">
      <c r="A23" s="39" t="s">
        <v>4579</v>
      </c>
      <c r="B23" s="39" t="s">
        <v>4608</v>
      </c>
      <c r="C23" s="39" t="s">
        <v>4609</v>
      </c>
      <c r="D23" s="39" t="s">
        <v>7</v>
      </c>
      <c r="E23" s="39">
        <v>1</v>
      </c>
    </row>
    <row r="24" spans="1:5">
      <c r="A24" s="39" t="s">
        <v>4579</v>
      </c>
      <c r="B24" s="39" t="s">
        <v>4610</v>
      </c>
      <c r="C24" s="39" t="s">
        <v>4611</v>
      </c>
      <c r="D24" s="39" t="s">
        <v>7</v>
      </c>
      <c r="E24" s="39">
        <v>1</v>
      </c>
    </row>
    <row r="25" spans="1:5">
      <c r="A25" s="39" t="s">
        <v>4579</v>
      </c>
      <c r="B25" s="39" t="s">
        <v>4612</v>
      </c>
      <c r="C25" s="39" t="s">
        <v>235</v>
      </c>
      <c r="D25" s="39" t="s">
        <v>7</v>
      </c>
      <c r="E25" s="39">
        <v>1</v>
      </c>
    </row>
    <row r="26" spans="1:5">
      <c r="A26" s="39" t="s">
        <v>4579</v>
      </c>
      <c r="B26" s="39" t="s">
        <v>4613</v>
      </c>
      <c r="C26" s="39" t="s">
        <v>4614</v>
      </c>
      <c r="D26" s="39" t="s">
        <v>7</v>
      </c>
      <c r="E26" s="39">
        <v>1</v>
      </c>
    </row>
    <row r="27" spans="1:5">
      <c r="A27" s="39" t="s">
        <v>4579</v>
      </c>
      <c r="B27" s="39" t="s">
        <v>4615</v>
      </c>
      <c r="C27" s="39" t="s">
        <v>4616</v>
      </c>
      <c r="D27" s="39" t="s">
        <v>7</v>
      </c>
      <c r="E27" s="39">
        <v>1</v>
      </c>
    </row>
    <row r="28" spans="1:5">
      <c r="A28" s="39" t="s">
        <v>4579</v>
      </c>
      <c r="B28" s="39" t="s">
        <v>4617</v>
      </c>
      <c r="C28" s="39" t="s">
        <v>2012</v>
      </c>
      <c r="D28" s="39" t="s">
        <v>7</v>
      </c>
      <c r="E28" s="39">
        <v>1</v>
      </c>
    </row>
    <row r="29" spans="1:5">
      <c r="A29" s="39" t="s">
        <v>4579</v>
      </c>
      <c r="B29" s="39" t="s">
        <v>4618</v>
      </c>
      <c r="C29" s="39" t="s">
        <v>1611</v>
      </c>
      <c r="D29" s="39" t="s">
        <v>7</v>
      </c>
      <c r="E29" s="39">
        <v>1</v>
      </c>
    </row>
    <row r="30" spans="1:5">
      <c r="A30" s="39" t="s">
        <v>4579</v>
      </c>
      <c r="B30" s="39" t="s">
        <v>4619</v>
      </c>
      <c r="C30" s="39" t="s">
        <v>96</v>
      </c>
      <c r="D30" s="39" t="s">
        <v>7</v>
      </c>
      <c r="E30" s="39">
        <v>1</v>
      </c>
    </row>
    <row r="31" spans="1:5">
      <c r="A31" s="39" t="s">
        <v>4579</v>
      </c>
      <c r="B31" s="39" t="s">
        <v>4620</v>
      </c>
      <c r="C31" s="39" t="s">
        <v>1145</v>
      </c>
      <c r="D31" s="39" t="s">
        <v>7</v>
      </c>
      <c r="E31" s="39">
        <v>1</v>
      </c>
    </row>
    <row r="32" spans="1:5">
      <c r="A32" s="39" t="s">
        <v>4579</v>
      </c>
      <c r="B32" s="39" t="s">
        <v>4621</v>
      </c>
      <c r="C32" s="39" t="s">
        <v>1145</v>
      </c>
      <c r="D32" s="39" t="s">
        <v>7</v>
      </c>
      <c r="E32" s="39">
        <v>1</v>
      </c>
    </row>
    <row r="33" spans="1:5">
      <c r="A33" s="39" t="s">
        <v>4579</v>
      </c>
      <c r="B33" s="39" t="s">
        <v>4622</v>
      </c>
      <c r="C33" s="39" t="s">
        <v>4623</v>
      </c>
      <c r="D33" s="39" t="s">
        <v>7</v>
      </c>
      <c r="E33" s="39">
        <v>1</v>
      </c>
    </row>
    <row r="34" spans="1:5">
      <c r="A34" s="39" t="s">
        <v>4579</v>
      </c>
      <c r="B34" s="39" t="s">
        <v>4624</v>
      </c>
      <c r="C34" s="39" t="s">
        <v>4625</v>
      </c>
      <c r="D34" s="39" t="s">
        <v>7</v>
      </c>
      <c r="E34" s="39">
        <v>1</v>
      </c>
    </row>
    <row r="35" spans="1:5">
      <c r="A35" s="39" t="s">
        <v>4579</v>
      </c>
      <c r="B35" s="39" t="s">
        <v>4626</v>
      </c>
      <c r="C35" s="39" t="s">
        <v>1145</v>
      </c>
      <c r="D35" s="39" t="s">
        <v>7</v>
      </c>
      <c r="E35" s="39">
        <v>1</v>
      </c>
    </row>
    <row r="36" spans="1:5">
      <c r="A36" s="39" t="s">
        <v>4579</v>
      </c>
      <c r="B36" s="39" t="s">
        <v>4627</v>
      </c>
      <c r="C36" s="39" t="s">
        <v>1145</v>
      </c>
      <c r="D36" s="39" t="s">
        <v>7</v>
      </c>
      <c r="E36" s="39">
        <v>1</v>
      </c>
    </row>
    <row r="37" spans="1:5">
      <c r="A37" s="39" t="s">
        <v>4579</v>
      </c>
      <c r="B37" s="39" t="s">
        <v>4628</v>
      </c>
      <c r="C37" s="39" t="s">
        <v>49</v>
      </c>
      <c r="D37" s="39" t="s">
        <v>7</v>
      </c>
      <c r="E37" s="39">
        <v>1</v>
      </c>
    </row>
    <row r="38" spans="1:5">
      <c r="A38" s="39" t="s">
        <v>4579</v>
      </c>
      <c r="B38" s="39" t="s">
        <v>4629</v>
      </c>
      <c r="C38" s="39" t="s">
        <v>4630</v>
      </c>
      <c r="D38" s="39" t="s">
        <v>7</v>
      </c>
      <c r="E38" s="39">
        <v>1</v>
      </c>
    </row>
    <row r="39" spans="1:5">
      <c r="A39" s="39" t="s">
        <v>4579</v>
      </c>
      <c r="B39" s="39" t="s">
        <v>4631</v>
      </c>
      <c r="C39" s="39" t="s">
        <v>2012</v>
      </c>
      <c r="D39" s="39" t="s">
        <v>7</v>
      </c>
      <c r="E39" s="39">
        <v>1</v>
      </c>
    </row>
    <row r="40" spans="1:5">
      <c r="A40" s="39" t="s">
        <v>4579</v>
      </c>
      <c r="B40" s="39" t="s">
        <v>4632</v>
      </c>
      <c r="C40" s="39" t="s">
        <v>1145</v>
      </c>
      <c r="D40" s="39" t="s">
        <v>7</v>
      </c>
      <c r="E40" s="39">
        <v>1</v>
      </c>
    </row>
    <row r="41" spans="1:5">
      <c r="A41" s="39" t="s">
        <v>4579</v>
      </c>
      <c r="B41" s="39" t="s">
        <v>4633</v>
      </c>
      <c r="C41" s="39" t="s">
        <v>1140</v>
      </c>
      <c r="D41" s="39" t="s">
        <v>7</v>
      </c>
      <c r="E41" s="39">
        <v>1</v>
      </c>
    </row>
    <row r="42" spans="1:5">
      <c r="A42" s="39" t="s">
        <v>4579</v>
      </c>
      <c r="B42" s="39" t="s">
        <v>4634</v>
      </c>
      <c r="C42" s="39" t="s">
        <v>1145</v>
      </c>
      <c r="D42" s="39" t="s">
        <v>7</v>
      </c>
      <c r="E42" s="39">
        <v>1</v>
      </c>
    </row>
    <row r="43" spans="1:5">
      <c r="A43" s="39" t="s">
        <v>4579</v>
      </c>
      <c r="B43" s="39" t="s">
        <v>4635</v>
      </c>
      <c r="C43" s="39" t="s">
        <v>96</v>
      </c>
      <c r="D43" s="39" t="s">
        <v>7</v>
      </c>
      <c r="E43" s="39">
        <v>1</v>
      </c>
    </row>
    <row r="44" spans="1:5">
      <c r="A44" s="39" t="s">
        <v>4579</v>
      </c>
      <c r="B44" s="39" t="s">
        <v>4636</v>
      </c>
      <c r="C44" s="39" t="s">
        <v>95</v>
      </c>
      <c r="D44" s="39" t="s">
        <v>7</v>
      </c>
      <c r="E44" s="39">
        <v>1</v>
      </c>
    </row>
    <row r="45" spans="1:5">
      <c r="A45" s="39" t="s">
        <v>4579</v>
      </c>
      <c r="B45" s="39" t="s">
        <v>4637</v>
      </c>
      <c r="C45" s="39" t="s">
        <v>49</v>
      </c>
      <c r="D45" s="39" t="s">
        <v>7</v>
      </c>
      <c r="E45" s="39">
        <v>1</v>
      </c>
    </row>
    <row r="46" spans="1:5">
      <c r="A46" s="39" t="s">
        <v>4579</v>
      </c>
      <c r="B46" s="39" t="s">
        <v>4638</v>
      </c>
      <c r="C46" s="39" t="s">
        <v>49</v>
      </c>
      <c r="D46" s="39" t="s">
        <v>7</v>
      </c>
      <c r="E46" s="39">
        <v>1</v>
      </c>
    </row>
    <row r="47" spans="1:5">
      <c r="A47" s="39" t="s">
        <v>4579</v>
      </c>
      <c r="B47" s="39" t="s">
        <v>4639</v>
      </c>
      <c r="C47" s="39" t="s">
        <v>96</v>
      </c>
      <c r="D47" s="39" t="s">
        <v>7</v>
      </c>
      <c r="E47" s="39">
        <v>1</v>
      </c>
    </row>
    <row r="48" spans="1:5">
      <c r="A48" s="39" t="s">
        <v>4579</v>
      </c>
      <c r="B48" s="39" t="s">
        <v>4640</v>
      </c>
      <c r="C48" s="39" t="s">
        <v>4641</v>
      </c>
      <c r="D48" s="39" t="s">
        <v>7</v>
      </c>
      <c r="E48" s="39">
        <v>1</v>
      </c>
    </row>
    <row r="49" spans="1:5">
      <c r="A49" s="39" t="s">
        <v>4579</v>
      </c>
      <c r="B49" s="39" t="s">
        <v>4642</v>
      </c>
      <c r="C49" s="39" t="s">
        <v>4641</v>
      </c>
      <c r="D49" s="39" t="s">
        <v>7</v>
      </c>
      <c r="E49" s="39">
        <v>1</v>
      </c>
    </row>
    <row r="50" spans="1:5">
      <c r="A50" s="39" t="s">
        <v>4579</v>
      </c>
      <c r="B50" s="39" t="s">
        <v>4643</v>
      </c>
      <c r="C50" s="39" t="s">
        <v>96</v>
      </c>
      <c r="D50" s="39" t="s">
        <v>7</v>
      </c>
      <c r="E50" s="39">
        <v>1</v>
      </c>
    </row>
    <row r="51" spans="1:5">
      <c r="A51" s="39" t="s">
        <v>4579</v>
      </c>
      <c r="B51" s="39" t="s">
        <v>4644</v>
      </c>
      <c r="C51" s="39" t="s">
        <v>96</v>
      </c>
      <c r="D51" s="39" t="s">
        <v>7</v>
      </c>
      <c r="E51" s="39">
        <v>1</v>
      </c>
    </row>
    <row r="52" spans="1:5">
      <c r="A52" s="39" t="s">
        <v>4579</v>
      </c>
      <c r="B52" s="39" t="s">
        <v>4645</v>
      </c>
      <c r="C52" s="39" t="s">
        <v>4600</v>
      </c>
      <c r="D52" s="39" t="s">
        <v>7</v>
      </c>
      <c r="E52" s="39">
        <v>1</v>
      </c>
    </row>
    <row r="53" spans="1:5">
      <c r="A53" s="39" t="s">
        <v>4579</v>
      </c>
      <c r="B53" s="39" t="s">
        <v>4646</v>
      </c>
      <c r="C53" s="39" t="s">
        <v>96</v>
      </c>
      <c r="D53" s="39" t="s">
        <v>7</v>
      </c>
      <c r="E53" s="39">
        <v>1</v>
      </c>
    </row>
    <row r="54" spans="1:5">
      <c r="A54" s="39" t="s">
        <v>4579</v>
      </c>
      <c r="B54" s="39" t="s">
        <v>4647</v>
      </c>
      <c r="C54" s="39" t="s">
        <v>811</v>
      </c>
      <c r="D54" s="39" t="s">
        <v>7</v>
      </c>
      <c r="E54" s="39">
        <v>1</v>
      </c>
    </row>
    <row r="55" spans="1:5">
      <c r="A55" s="39" t="s">
        <v>4579</v>
      </c>
      <c r="B55" s="39" t="s">
        <v>4648</v>
      </c>
      <c r="C55" s="39" t="s">
        <v>96</v>
      </c>
      <c r="D55" s="39" t="s">
        <v>7</v>
      </c>
      <c r="E55" s="39">
        <v>1</v>
      </c>
    </row>
    <row r="56" spans="1:5">
      <c r="A56" s="39" t="s">
        <v>4579</v>
      </c>
      <c r="B56" s="39" t="s">
        <v>4649</v>
      </c>
      <c r="C56" s="39" t="s">
        <v>96</v>
      </c>
      <c r="D56" s="39" t="s">
        <v>7</v>
      </c>
      <c r="E56" s="39">
        <v>1</v>
      </c>
    </row>
    <row r="57" spans="1:5">
      <c r="A57" s="39" t="s">
        <v>4579</v>
      </c>
      <c r="B57" s="39" t="s">
        <v>4650</v>
      </c>
      <c r="C57" s="39" t="s">
        <v>4651</v>
      </c>
      <c r="D57" s="39" t="s">
        <v>7</v>
      </c>
      <c r="E57" s="39">
        <v>1</v>
      </c>
    </row>
    <row r="58" spans="1:5">
      <c r="A58" s="39" t="s">
        <v>4579</v>
      </c>
      <c r="B58" s="39" t="s">
        <v>4652</v>
      </c>
      <c r="C58" s="39" t="s">
        <v>49</v>
      </c>
      <c r="D58" s="39" t="s">
        <v>7</v>
      </c>
      <c r="E58" s="39">
        <v>1</v>
      </c>
    </row>
    <row r="59" spans="1:5">
      <c r="A59" s="39" t="s">
        <v>4579</v>
      </c>
      <c r="B59" s="39" t="s">
        <v>4653</v>
      </c>
      <c r="C59" s="39" t="s">
        <v>49</v>
      </c>
      <c r="D59" s="39" t="s">
        <v>7</v>
      </c>
      <c r="E59" s="39">
        <v>1</v>
      </c>
    </row>
    <row r="60" spans="1:5">
      <c r="A60" s="39" t="s">
        <v>4579</v>
      </c>
      <c r="B60" s="39" t="s">
        <v>4654</v>
      </c>
      <c r="C60" s="39" t="s">
        <v>49</v>
      </c>
      <c r="D60" s="39" t="s">
        <v>7</v>
      </c>
      <c r="E60" s="39">
        <v>1</v>
      </c>
    </row>
    <row r="61" spans="1:5">
      <c r="A61" s="39" t="s">
        <v>4579</v>
      </c>
      <c r="B61" s="39" t="s">
        <v>4655</v>
      </c>
      <c r="C61" s="39" t="s">
        <v>1143</v>
      </c>
      <c r="D61" s="39" t="s">
        <v>7</v>
      </c>
      <c r="E61" s="39">
        <v>1</v>
      </c>
    </row>
    <row r="62" spans="1:5">
      <c r="A62" s="39" t="s">
        <v>4579</v>
      </c>
      <c r="B62" s="39" t="s">
        <v>4656</v>
      </c>
      <c r="C62" s="39" t="s">
        <v>96</v>
      </c>
      <c r="D62" s="39" t="s">
        <v>7</v>
      </c>
      <c r="E62" s="39">
        <v>1</v>
      </c>
    </row>
    <row r="63" spans="1:5">
      <c r="A63" s="39" t="s">
        <v>4579</v>
      </c>
      <c r="B63" s="39" t="s">
        <v>4657</v>
      </c>
      <c r="C63" s="39" t="s">
        <v>96</v>
      </c>
      <c r="D63" s="39" t="s">
        <v>7</v>
      </c>
      <c r="E63" s="39">
        <v>1</v>
      </c>
    </row>
    <row r="64" spans="1:5">
      <c r="A64" s="39" t="s">
        <v>4579</v>
      </c>
      <c r="B64" s="39" t="s">
        <v>4658</v>
      </c>
      <c r="C64" s="39" t="s">
        <v>96</v>
      </c>
      <c r="D64" s="39" t="s">
        <v>7</v>
      </c>
      <c r="E64" s="39">
        <v>1</v>
      </c>
    </row>
    <row r="65" spans="1:5">
      <c r="A65" s="39" t="s">
        <v>4579</v>
      </c>
      <c r="B65" s="39" t="s">
        <v>4659</v>
      </c>
      <c r="C65" s="39" t="s">
        <v>96</v>
      </c>
      <c r="D65" s="39" t="s">
        <v>7</v>
      </c>
      <c r="E65" s="39">
        <v>1</v>
      </c>
    </row>
    <row r="66" spans="1:5">
      <c r="A66" s="39" t="s">
        <v>4579</v>
      </c>
      <c r="B66" s="39" t="s">
        <v>4660</v>
      </c>
      <c r="C66" s="39" t="s">
        <v>96</v>
      </c>
      <c r="D66" s="39" t="s">
        <v>7</v>
      </c>
      <c r="E66" s="39">
        <v>1</v>
      </c>
    </row>
    <row r="67" spans="1:5">
      <c r="A67" s="39" t="s">
        <v>4579</v>
      </c>
      <c r="B67" s="39" t="s">
        <v>4661</v>
      </c>
      <c r="C67" s="39" t="s">
        <v>108</v>
      </c>
      <c r="D67" s="39" t="s">
        <v>7</v>
      </c>
      <c r="E67" s="39">
        <v>1</v>
      </c>
    </row>
    <row r="68" spans="1:5">
      <c r="A68" s="39" t="s">
        <v>4579</v>
      </c>
      <c r="B68" s="39" t="s">
        <v>4662</v>
      </c>
      <c r="C68" s="39" t="s">
        <v>537</v>
      </c>
      <c r="D68" s="40" t="s">
        <v>7</v>
      </c>
      <c r="E68" s="39">
        <v>1</v>
      </c>
    </row>
    <row r="69" spans="1:5">
      <c r="A69" s="39" t="s">
        <v>4579</v>
      </c>
      <c r="B69" s="39" t="s">
        <v>4663</v>
      </c>
      <c r="C69" s="39" t="s">
        <v>2139</v>
      </c>
      <c r="D69" s="39" t="s">
        <v>7</v>
      </c>
      <c r="E69" s="39">
        <v>1</v>
      </c>
    </row>
    <row r="70" spans="1:5">
      <c r="A70" s="39" t="s">
        <v>4579</v>
      </c>
      <c r="B70" s="39" t="s">
        <v>4664</v>
      </c>
      <c r="C70" s="39" t="s">
        <v>365</v>
      </c>
      <c r="D70" s="39" t="s">
        <v>7</v>
      </c>
      <c r="E70" s="39">
        <v>1</v>
      </c>
    </row>
    <row r="71" spans="1:5">
      <c r="A71" s="39" t="s">
        <v>4579</v>
      </c>
      <c r="B71" s="39" t="s">
        <v>4665</v>
      </c>
      <c r="C71" s="39" t="s">
        <v>1853</v>
      </c>
      <c r="D71" s="39" t="s">
        <v>7</v>
      </c>
      <c r="E71" s="39">
        <v>1</v>
      </c>
    </row>
    <row r="72" spans="1:5">
      <c r="A72" s="39" t="s">
        <v>4579</v>
      </c>
      <c r="B72" s="39" t="s">
        <v>4666</v>
      </c>
      <c r="C72" s="39" t="s">
        <v>3534</v>
      </c>
      <c r="D72" s="39" t="s">
        <v>7</v>
      </c>
      <c r="E72" s="39">
        <v>1</v>
      </c>
    </row>
    <row r="73" spans="1:5">
      <c r="A73" s="39" t="s">
        <v>4579</v>
      </c>
      <c r="B73" s="39" t="s">
        <v>4667</v>
      </c>
      <c r="C73" s="39" t="s">
        <v>3534</v>
      </c>
      <c r="D73" s="39" t="s">
        <v>7</v>
      </c>
      <c r="E73" s="39">
        <v>1</v>
      </c>
    </row>
    <row r="74" spans="1:5">
      <c r="A74" s="39" t="s">
        <v>4579</v>
      </c>
      <c r="B74" s="39" t="s">
        <v>4668</v>
      </c>
      <c r="C74" s="39" t="s">
        <v>3534</v>
      </c>
      <c r="D74" s="39" t="s">
        <v>7</v>
      </c>
      <c r="E74" s="39">
        <v>1</v>
      </c>
    </row>
    <row r="75" spans="1:5">
      <c r="A75" s="39" t="s">
        <v>4579</v>
      </c>
      <c r="B75" s="39" t="s">
        <v>4669</v>
      </c>
      <c r="C75" s="39" t="s">
        <v>3534</v>
      </c>
      <c r="D75" s="39" t="s">
        <v>7</v>
      </c>
      <c r="E75" s="39">
        <v>1</v>
      </c>
    </row>
    <row r="76" spans="1:5">
      <c r="A76" s="39" t="s">
        <v>4579</v>
      </c>
      <c r="B76" s="39" t="s">
        <v>4670</v>
      </c>
      <c r="C76" s="39" t="s">
        <v>96</v>
      </c>
      <c r="D76" s="39" t="s">
        <v>7</v>
      </c>
      <c r="E76" s="39">
        <v>1</v>
      </c>
    </row>
    <row r="77" spans="1:5">
      <c r="A77" s="39" t="s">
        <v>4579</v>
      </c>
      <c r="B77" s="39" t="s">
        <v>4671</v>
      </c>
      <c r="C77" s="39" t="s">
        <v>305</v>
      </c>
      <c r="D77" s="39" t="s">
        <v>7</v>
      </c>
      <c r="E77" s="39">
        <v>1</v>
      </c>
    </row>
    <row r="78" spans="1:5">
      <c r="A78" s="39" t="s">
        <v>4579</v>
      </c>
      <c r="B78" s="39" t="s">
        <v>4672</v>
      </c>
      <c r="C78" s="39" t="s">
        <v>3534</v>
      </c>
      <c r="D78" s="39" t="s">
        <v>7</v>
      </c>
      <c r="E78" s="39">
        <v>1</v>
      </c>
    </row>
    <row r="79" spans="1:5">
      <c r="A79" s="39" t="s">
        <v>4579</v>
      </c>
      <c r="B79" s="39" t="s">
        <v>4673</v>
      </c>
      <c r="C79" s="39" t="s">
        <v>903</v>
      </c>
      <c r="D79" s="39" t="s">
        <v>7</v>
      </c>
      <c r="E79" s="39">
        <v>1</v>
      </c>
    </row>
    <row r="80" spans="1:5">
      <c r="A80" s="39" t="s">
        <v>4579</v>
      </c>
      <c r="B80" s="39" t="s">
        <v>4674</v>
      </c>
      <c r="C80" s="39" t="s">
        <v>3212</v>
      </c>
      <c r="D80" s="39" t="s">
        <v>7</v>
      </c>
      <c r="E80" s="39">
        <v>1</v>
      </c>
    </row>
    <row r="81" spans="1:5">
      <c r="A81" s="39" t="s">
        <v>4579</v>
      </c>
      <c r="B81" s="39" t="s">
        <v>4675</v>
      </c>
      <c r="C81" s="39" t="s">
        <v>372</v>
      </c>
      <c r="D81" s="39" t="s">
        <v>7</v>
      </c>
      <c r="E81" s="39">
        <v>1</v>
      </c>
    </row>
    <row r="82" spans="1:5">
      <c r="A82" s="39" t="s">
        <v>4579</v>
      </c>
      <c r="B82" s="39" t="s">
        <v>4676</v>
      </c>
      <c r="C82" s="39" t="s">
        <v>4677</v>
      </c>
      <c r="D82" s="39" t="s">
        <v>7</v>
      </c>
      <c r="E82" s="39">
        <v>1</v>
      </c>
    </row>
    <row r="83" spans="1:5">
      <c r="A83" s="39" t="s">
        <v>4579</v>
      </c>
      <c r="B83" s="39" t="s">
        <v>4678</v>
      </c>
      <c r="C83" s="39" t="s">
        <v>49</v>
      </c>
      <c r="D83" s="39" t="s">
        <v>7</v>
      </c>
      <c r="E83" s="39">
        <v>1</v>
      </c>
    </row>
    <row r="84" spans="1:5">
      <c r="A84" s="39" t="s">
        <v>4579</v>
      </c>
      <c r="B84" s="39" t="s">
        <v>4679</v>
      </c>
      <c r="C84" s="39" t="s">
        <v>96</v>
      </c>
      <c r="D84" s="39" t="s">
        <v>7</v>
      </c>
      <c r="E84" s="39">
        <v>1</v>
      </c>
    </row>
    <row r="85" spans="1:5">
      <c r="A85" s="39" t="s">
        <v>4579</v>
      </c>
      <c r="B85" s="39" t="s">
        <v>4680</v>
      </c>
      <c r="C85" s="39" t="s">
        <v>4681</v>
      </c>
      <c r="D85" s="39" t="s">
        <v>7</v>
      </c>
      <c r="E85" s="39">
        <v>1</v>
      </c>
    </row>
    <row r="86" spans="1:5">
      <c r="A86" s="39" t="s">
        <v>4579</v>
      </c>
      <c r="B86" s="39" t="s">
        <v>4682</v>
      </c>
      <c r="C86" s="39" t="s">
        <v>4681</v>
      </c>
      <c r="D86" s="39" t="s">
        <v>7</v>
      </c>
      <c r="E86" s="39">
        <v>1</v>
      </c>
    </row>
    <row r="87" spans="1:5">
      <c r="A87" s="39" t="s">
        <v>4579</v>
      </c>
      <c r="B87" s="39" t="s">
        <v>4683</v>
      </c>
      <c r="C87" s="39" t="s">
        <v>4681</v>
      </c>
      <c r="D87" s="39" t="s">
        <v>7</v>
      </c>
      <c r="E87" s="39">
        <v>1</v>
      </c>
    </row>
    <row r="88" spans="1:5">
      <c r="A88" s="39" t="s">
        <v>4579</v>
      </c>
      <c r="B88" s="39" t="s">
        <v>4684</v>
      </c>
      <c r="C88" s="39" t="s">
        <v>4681</v>
      </c>
      <c r="D88" s="39" t="s">
        <v>7</v>
      </c>
      <c r="E88" s="39">
        <v>1</v>
      </c>
    </row>
    <row r="89" spans="1:5">
      <c r="A89" s="39" t="s">
        <v>4579</v>
      </c>
      <c r="B89" s="39" t="s">
        <v>4685</v>
      </c>
      <c r="C89" s="39" t="s">
        <v>4681</v>
      </c>
      <c r="D89" s="39" t="s">
        <v>7</v>
      </c>
      <c r="E89" s="39">
        <v>1</v>
      </c>
    </row>
    <row r="90" spans="1:5">
      <c r="A90" s="39" t="s">
        <v>4579</v>
      </c>
      <c r="B90" s="39" t="s">
        <v>4686</v>
      </c>
      <c r="C90" s="39" t="s">
        <v>4681</v>
      </c>
      <c r="D90" s="39" t="s">
        <v>7</v>
      </c>
      <c r="E90" s="39">
        <v>1</v>
      </c>
    </row>
    <row r="91" spans="1:5">
      <c r="A91" s="39" t="s">
        <v>4579</v>
      </c>
      <c r="B91" s="39" t="s">
        <v>4687</v>
      </c>
      <c r="C91" s="39" t="s">
        <v>4681</v>
      </c>
      <c r="D91" s="39" t="s">
        <v>7</v>
      </c>
      <c r="E91" s="39">
        <v>1</v>
      </c>
    </row>
    <row r="92" spans="1:5">
      <c r="A92" s="39" t="s">
        <v>4579</v>
      </c>
      <c r="B92" s="39" t="s">
        <v>4688</v>
      </c>
      <c r="C92" s="39" t="s">
        <v>4681</v>
      </c>
      <c r="D92" s="39" t="s">
        <v>7</v>
      </c>
      <c r="E92" s="39">
        <v>1</v>
      </c>
    </row>
    <row r="93" spans="1:5">
      <c r="A93" s="39" t="s">
        <v>4579</v>
      </c>
      <c r="B93" s="39" t="s">
        <v>4689</v>
      </c>
      <c r="C93" s="39" t="s">
        <v>330</v>
      </c>
      <c r="D93" s="39" t="s">
        <v>7</v>
      </c>
      <c r="E93" s="39">
        <v>1</v>
      </c>
    </row>
    <row r="94" spans="1:5">
      <c r="A94" s="39" t="s">
        <v>4579</v>
      </c>
      <c r="B94" s="39" t="s">
        <v>4690</v>
      </c>
      <c r="C94" s="39" t="s">
        <v>362</v>
      </c>
      <c r="D94" s="39" t="s">
        <v>7</v>
      </c>
      <c r="E94" s="39">
        <v>1</v>
      </c>
    </row>
    <row r="95" spans="1:5">
      <c r="A95" s="39" t="s">
        <v>4579</v>
      </c>
      <c r="B95" s="39" t="s">
        <v>4691</v>
      </c>
      <c r="C95" s="39" t="s">
        <v>4692</v>
      </c>
      <c r="D95" s="39" t="s">
        <v>7</v>
      </c>
      <c r="E95" s="39">
        <v>1</v>
      </c>
    </row>
    <row r="96" spans="1:5">
      <c r="A96" s="39" t="s">
        <v>4579</v>
      </c>
      <c r="B96" s="39" t="s">
        <v>4693</v>
      </c>
      <c r="C96" s="39" t="s">
        <v>305</v>
      </c>
      <c r="D96" s="39" t="s">
        <v>7</v>
      </c>
      <c r="E96" s="39">
        <v>1</v>
      </c>
    </row>
    <row r="97" spans="1:5">
      <c r="A97" s="39" t="s">
        <v>4579</v>
      </c>
      <c r="B97" s="39" t="s">
        <v>4694</v>
      </c>
      <c r="C97" s="39" t="s">
        <v>305</v>
      </c>
      <c r="D97" s="39" t="s">
        <v>7</v>
      </c>
      <c r="E97" s="39">
        <v>1</v>
      </c>
    </row>
    <row r="98" spans="1:5">
      <c r="A98" s="39" t="s">
        <v>4579</v>
      </c>
      <c r="B98" s="39" t="s">
        <v>4695</v>
      </c>
      <c r="C98" s="39" t="s">
        <v>305</v>
      </c>
      <c r="D98" s="39" t="s">
        <v>7</v>
      </c>
      <c r="E98" s="39">
        <v>1</v>
      </c>
    </row>
    <row r="99" spans="1:5">
      <c r="A99" s="39" t="s">
        <v>4579</v>
      </c>
      <c r="B99" s="39" t="s">
        <v>4696</v>
      </c>
      <c r="C99" s="39" t="s">
        <v>4697</v>
      </c>
      <c r="D99" s="39" t="s">
        <v>7</v>
      </c>
      <c r="E99" s="39">
        <v>1</v>
      </c>
    </row>
    <row r="100" spans="1:5">
      <c r="A100" s="39" t="s">
        <v>4579</v>
      </c>
      <c r="B100" s="39" t="s">
        <v>4698</v>
      </c>
      <c r="C100" s="39" t="s">
        <v>4697</v>
      </c>
      <c r="D100" s="39" t="s">
        <v>7</v>
      </c>
      <c r="E100" s="39">
        <v>1</v>
      </c>
    </row>
    <row r="101" spans="1:5">
      <c r="A101" s="39" t="s">
        <v>4579</v>
      </c>
      <c r="B101" s="39" t="s">
        <v>4699</v>
      </c>
      <c r="C101" s="39" t="s">
        <v>4697</v>
      </c>
      <c r="D101" s="39" t="s">
        <v>7</v>
      </c>
      <c r="E101" s="39">
        <v>1</v>
      </c>
    </row>
    <row r="102" spans="1:5">
      <c r="A102" s="39" t="s">
        <v>4579</v>
      </c>
      <c r="B102" s="39" t="s">
        <v>4700</v>
      </c>
      <c r="C102" s="39" t="s">
        <v>4697</v>
      </c>
      <c r="D102" s="39" t="s">
        <v>7</v>
      </c>
      <c r="E102" s="39">
        <v>1</v>
      </c>
    </row>
    <row r="103" spans="1:5">
      <c r="A103" s="39" t="s">
        <v>4579</v>
      </c>
      <c r="B103" s="39" t="s">
        <v>4701</v>
      </c>
      <c r="C103" s="39" t="s">
        <v>4697</v>
      </c>
      <c r="D103" s="39" t="s">
        <v>7</v>
      </c>
      <c r="E103" s="39">
        <v>1</v>
      </c>
    </row>
    <row r="104" spans="1:5">
      <c r="A104" s="39" t="s">
        <v>4579</v>
      </c>
      <c r="B104" s="39" t="s">
        <v>4702</v>
      </c>
      <c r="C104" s="39" t="s">
        <v>4697</v>
      </c>
      <c r="D104" s="39" t="s">
        <v>7</v>
      </c>
      <c r="E104" s="39">
        <v>1</v>
      </c>
    </row>
    <row r="105" spans="1:5">
      <c r="A105" s="39" t="s">
        <v>4579</v>
      </c>
      <c r="B105" s="39" t="s">
        <v>4703</v>
      </c>
      <c r="C105" s="39" t="s">
        <v>4697</v>
      </c>
      <c r="D105" s="39" t="s">
        <v>7</v>
      </c>
      <c r="E105" s="39">
        <v>1</v>
      </c>
    </row>
    <row r="106" spans="1:5">
      <c r="A106" s="39" t="s">
        <v>4579</v>
      </c>
      <c r="B106" s="39" t="s">
        <v>4704</v>
      </c>
      <c r="C106" s="39" t="s">
        <v>4697</v>
      </c>
      <c r="D106" s="39" t="s">
        <v>7</v>
      </c>
      <c r="E106" s="39">
        <v>1</v>
      </c>
    </row>
    <row r="107" spans="1:5">
      <c r="A107" s="39" t="s">
        <v>4579</v>
      </c>
      <c r="B107" s="39" t="s">
        <v>4705</v>
      </c>
      <c r="C107" s="39" t="s">
        <v>4697</v>
      </c>
      <c r="D107" s="39" t="s">
        <v>7</v>
      </c>
      <c r="E107" s="39">
        <v>1</v>
      </c>
    </row>
    <row r="108" spans="1:5">
      <c r="A108" s="39" t="s">
        <v>4579</v>
      </c>
      <c r="B108" s="39" t="s">
        <v>4706</v>
      </c>
      <c r="C108" s="39" t="s">
        <v>4697</v>
      </c>
      <c r="D108" s="39" t="s">
        <v>7</v>
      </c>
      <c r="E108" s="39">
        <v>1</v>
      </c>
    </row>
    <row r="109" spans="1:5">
      <c r="A109" s="39" t="s">
        <v>4579</v>
      </c>
      <c r="B109" s="39" t="s">
        <v>4707</v>
      </c>
      <c r="C109" s="39" t="s">
        <v>4697</v>
      </c>
      <c r="D109" s="39" t="s">
        <v>7</v>
      </c>
      <c r="E109" s="39">
        <v>1</v>
      </c>
    </row>
    <row r="110" spans="1:5">
      <c r="A110" s="39" t="s">
        <v>4579</v>
      </c>
      <c r="B110" s="39" t="s">
        <v>4708</v>
      </c>
      <c r="C110" s="39" t="s">
        <v>4697</v>
      </c>
      <c r="D110" s="39" t="s">
        <v>7</v>
      </c>
      <c r="E110" s="39">
        <v>1</v>
      </c>
    </row>
    <row r="111" spans="1:5">
      <c r="A111" s="39" t="s">
        <v>4579</v>
      </c>
      <c r="B111" s="39" t="s">
        <v>4709</v>
      </c>
      <c r="C111" s="39" t="s">
        <v>4697</v>
      </c>
      <c r="D111" s="39" t="s">
        <v>7</v>
      </c>
      <c r="E111" s="39">
        <v>1</v>
      </c>
    </row>
    <row r="112" spans="1:5">
      <c r="A112" s="39" t="s">
        <v>4579</v>
      </c>
      <c r="B112" s="39" t="s">
        <v>4710</v>
      </c>
      <c r="C112" s="39" t="s">
        <v>4711</v>
      </c>
      <c r="D112" s="39" t="s">
        <v>7</v>
      </c>
      <c r="E112" s="39">
        <v>1</v>
      </c>
    </row>
    <row r="113" spans="1:5">
      <c r="A113" s="39" t="s">
        <v>4579</v>
      </c>
      <c r="B113" s="39" t="s">
        <v>4712</v>
      </c>
      <c r="C113" s="39" t="s">
        <v>4713</v>
      </c>
      <c r="D113" s="39" t="s">
        <v>7</v>
      </c>
      <c r="E113" s="39">
        <v>1</v>
      </c>
    </row>
    <row r="114" spans="1:5">
      <c r="A114" s="39" t="s">
        <v>4579</v>
      </c>
      <c r="B114" s="39" t="s">
        <v>4714</v>
      </c>
      <c r="C114" s="39" t="s">
        <v>4713</v>
      </c>
      <c r="D114" s="39" t="s">
        <v>7</v>
      </c>
      <c r="E114" s="39">
        <v>1</v>
      </c>
    </row>
    <row r="115" spans="1:5">
      <c r="A115" s="39" t="s">
        <v>4579</v>
      </c>
      <c r="B115" s="39" t="s">
        <v>4715</v>
      </c>
      <c r="C115" s="39" t="s">
        <v>4716</v>
      </c>
      <c r="D115" s="39" t="s">
        <v>7</v>
      </c>
      <c r="E115" s="39">
        <v>1</v>
      </c>
    </row>
    <row r="116" spans="1:5">
      <c r="A116" s="39" t="s">
        <v>4579</v>
      </c>
      <c r="B116" s="39" t="s">
        <v>4717</v>
      </c>
      <c r="C116" s="39" t="s">
        <v>4716</v>
      </c>
      <c r="D116" s="39" t="s">
        <v>7</v>
      </c>
      <c r="E116" s="39">
        <v>1</v>
      </c>
    </row>
    <row r="117" spans="1:5">
      <c r="A117" s="39" t="s">
        <v>4579</v>
      </c>
      <c r="B117" s="39" t="s">
        <v>4718</v>
      </c>
      <c r="C117" s="39" t="s">
        <v>4719</v>
      </c>
      <c r="D117" s="39" t="s">
        <v>7</v>
      </c>
      <c r="E117" s="39">
        <v>1</v>
      </c>
    </row>
    <row r="118" spans="1:5">
      <c r="A118" s="39" t="s">
        <v>4579</v>
      </c>
      <c r="B118" s="39" t="s">
        <v>4720</v>
      </c>
      <c r="C118" s="39" t="s">
        <v>4719</v>
      </c>
      <c r="D118" s="39" t="s">
        <v>7</v>
      </c>
      <c r="E118" s="39">
        <v>1</v>
      </c>
    </row>
    <row r="119" spans="1:5">
      <c r="A119" s="39" t="s">
        <v>4579</v>
      </c>
      <c r="B119" s="39" t="s">
        <v>4721</v>
      </c>
      <c r="C119" s="39" t="s">
        <v>4719</v>
      </c>
      <c r="D119" s="39" t="s">
        <v>7</v>
      </c>
      <c r="E119" s="39">
        <v>1</v>
      </c>
    </row>
    <row r="120" spans="1:5">
      <c r="A120" s="39" t="s">
        <v>4579</v>
      </c>
      <c r="B120" s="39" t="s">
        <v>4722</v>
      </c>
      <c r="C120" s="39" t="s">
        <v>4719</v>
      </c>
      <c r="D120" s="39" t="s">
        <v>7</v>
      </c>
      <c r="E120" s="39">
        <v>1</v>
      </c>
    </row>
    <row r="121" spans="1:5">
      <c r="A121" s="39" t="s">
        <v>4579</v>
      </c>
      <c r="B121" s="39" t="s">
        <v>4723</v>
      </c>
      <c r="C121" s="39" t="s">
        <v>4719</v>
      </c>
      <c r="D121" s="39" t="s">
        <v>7</v>
      </c>
      <c r="E121" s="39">
        <v>1</v>
      </c>
    </row>
    <row r="122" spans="1:5">
      <c r="A122" s="39" t="s">
        <v>4579</v>
      </c>
      <c r="B122" s="39" t="s">
        <v>4724</v>
      </c>
      <c r="C122" s="39" t="s">
        <v>4719</v>
      </c>
      <c r="D122" s="39" t="s">
        <v>7</v>
      </c>
      <c r="E122" s="39">
        <v>1</v>
      </c>
    </row>
    <row r="123" spans="1:5">
      <c r="A123" s="39" t="s">
        <v>4579</v>
      </c>
      <c r="B123" s="39" t="s">
        <v>4725</v>
      </c>
      <c r="C123" s="39" t="s">
        <v>4719</v>
      </c>
      <c r="D123" s="39" t="s">
        <v>7</v>
      </c>
      <c r="E123" s="39">
        <v>1</v>
      </c>
    </row>
    <row r="124" spans="1:5">
      <c r="A124" s="39" t="s">
        <v>4579</v>
      </c>
      <c r="B124" s="39" t="s">
        <v>4726</v>
      </c>
      <c r="C124" s="39" t="s">
        <v>4719</v>
      </c>
      <c r="D124" s="39" t="s">
        <v>7</v>
      </c>
      <c r="E124" s="39">
        <v>1</v>
      </c>
    </row>
    <row r="125" spans="1:5">
      <c r="A125" s="39" t="s">
        <v>4579</v>
      </c>
      <c r="B125" s="39" t="s">
        <v>4727</v>
      </c>
      <c r="C125" s="39" t="s">
        <v>4719</v>
      </c>
      <c r="D125" s="39" t="s">
        <v>7</v>
      </c>
      <c r="E125" s="39">
        <v>1</v>
      </c>
    </row>
    <row r="126" spans="1:5">
      <c r="A126" s="39" t="s">
        <v>4579</v>
      </c>
      <c r="B126" s="39" t="s">
        <v>4728</v>
      </c>
      <c r="C126" s="39" t="s">
        <v>4719</v>
      </c>
      <c r="D126" s="39" t="s">
        <v>7</v>
      </c>
      <c r="E126" s="39">
        <v>1</v>
      </c>
    </row>
    <row r="127" spans="1:5">
      <c r="A127" s="39" t="s">
        <v>4579</v>
      </c>
      <c r="B127" s="39" t="s">
        <v>4729</v>
      </c>
      <c r="C127" s="39" t="s">
        <v>4719</v>
      </c>
      <c r="D127" s="39" t="s">
        <v>7</v>
      </c>
      <c r="E127" s="39">
        <v>1</v>
      </c>
    </row>
    <row r="128" spans="1:5">
      <c r="A128" s="39" t="s">
        <v>4579</v>
      </c>
      <c r="B128" s="39" t="s">
        <v>4730</v>
      </c>
      <c r="C128" s="39" t="s">
        <v>4719</v>
      </c>
      <c r="D128" s="39" t="s">
        <v>7</v>
      </c>
      <c r="E128" s="39">
        <v>1</v>
      </c>
    </row>
    <row r="129" spans="1:5">
      <c r="A129" s="39" t="s">
        <v>4579</v>
      </c>
      <c r="B129" s="39" t="s">
        <v>4731</v>
      </c>
      <c r="C129" s="39" t="s">
        <v>4719</v>
      </c>
      <c r="D129" s="39" t="s">
        <v>7</v>
      </c>
      <c r="E129" s="39">
        <v>1</v>
      </c>
    </row>
    <row r="130" spans="1:5">
      <c r="A130" s="39" t="s">
        <v>4579</v>
      </c>
      <c r="B130" s="39" t="s">
        <v>4732</v>
      </c>
      <c r="C130" s="39" t="s">
        <v>4719</v>
      </c>
      <c r="D130" s="39" t="s">
        <v>7</v>
      </c>
      <c r="E130" s="39">
        <v>1</v>
      </c>
    </row>
    <row r="131" spans="1:5">
      <c r="A131" s="39" t="s">
        <v>4579</v>
      </c>
      <c r="B131" s="39" t="s">
        <v>4733</v>
      </c>
      <c r="C131" s="39" t="s">
        <v>4719</v>
      </c>
      <c r="D131" s="39" t="s">
        <v>7</v>
      </c>
      <c r="E131" s="39">
        <v>1</v>
      </c>
    </row>
    <row r="132" spans="1:5">
      <c r="A132" s="39" t="s">
        <v>4579</v>
      </c>
      <c r="B132" s="39" t="s">
        <v>4734</v>
      </c>
      <c r="C132" s="39" t="s">
        <v>4719</v>
      </c>
      <c r="D132" s="39" t="s">
        <v>7</v>
      </c>
      <c r="E132" s="39">
        <v>1</v>
      </c>
    </row>
    <row r="133" spans="1:5">
      <c r="A133" s="39" t="s">
        <v>4579</v>
      </c>
      <c r="B133" s="39" t="s">
        <v>4735</v>
      </c>
      <c r="C133" s="39" t="s">
        <v>4719</v>
      </c>
      <c r="D133" s="39" t="s">
        <v>7</v>
      </c>
      <c r="E133" s="39">
        <v>1</v>
      </c>
    </row>
    <row r="134" spans="1:5">
      <c r="A134" s="39" t="s">
        <v>4579</v>
      </c>
      <c r="B134" s="39" t="s">
        <v>4736</v>
      </c>
      <c r="C134" s="39" t="s">
        <v>4719</v>
      </c>
      <c r="D134" s="39" t="s">
        <v>7</v>
      </c>
      <c r="E134" s="39">
        <v>1</v>
      </c>
    </row>
    <row r="135" spans="1:5">
      <c r="A135" s="39" t="s">
        <v>4579</v>
      </c>
      <c r="B135" s="39" t="s">
        <v>4737</v>
      </c>
      <c r="C135" s="39" t="s">
        <v>4719</v>
      </c>
      <c r="D135" s="39" t="s">
        <v>7</v>
      </c>
      <c r="E135" s="39">
        <v>1</v>
      </c>
    </row>
    <row r="136" spans="1:5">
      <c r="A136" s="39" t="s">
        <v>4579</v>
      </c>
      <c r="B136" s="39" t="s">
        <v>4738</v>
      </c>
      <c r="C136" s="39" t="s">
        <v>4719</v>
      </c>
      <c r="D136" s="39" t="s">
        <v>7</v>
      </c>
      <c r="E136" s="39">
        <v>1</v>
      </c>
    </row>
    <row r="137" spans="1:5">
      <c r="A137" s="39" t="s">
        <v>4579</v>
      </c>
      <c r="B137" s="39" t="s">
        <v>4739</v>
      </c>
      <c r="C137" s="39" t="s">
        <v>4740</v>
      </c>
      <c r="D137" s="39" t="s">
        <v>7</v>
      </c>
      <c r="E137" s="39">
        <v>1</v>
      </c>
    </row>
    <row r="138" spans="1:5">
      <c r="A138" s="39" t="s">
        <v>4579</v>
      </c>
      <c r="B138" s="39" t="s">
        <v>4741</v>
      </c>
      <c r="C138" s="39" t="s">
        <v>4742</v>
      </c>
      <c r="D138" s="39" t="s">
        <v>7</v>
      </c>
      <c r="E138" s="39">
        <v>1</v>
      </c>
    </row>
    <row r="139" spans="1:5">
      <c r="A139" s="39" t="s">
        <v>4579</v>
      </c>
      <c r="B139" s="39" t="s">
        <v>4743</v>
      </c>
      <c r="C139" s="39" t="s">
        <v>4744</v>
      </c>
      <c r="D139" s="39" t="s">
        <v>7</v>
      </c>
      <c r="E139" s="39">
        <v>1</v>
      </c>
    </row>
    <row r="140" spans="1:5">
      <c r="A140" s="39" t="s">
        <v>4579</v>
      </c>
      <c r="B140" s="39" t="s">
        <v>4745</v>
      </c>
      <c r="C140" s="39" t="s">
        <v>2534</v>
      </c>
      <c r="D140" s="39" t="s">
        <v>7</v>
      </c>
      <c r="E140" s="39">
        <v>1</v>
      </c>
    </row>
    <row r="141" spans="1:5">
      <c r="A141" s="39" t="s">
        <v>4579</v>
      </c>
      <c r="B141" s="39" t="s">
        <v>4746</v>
      </c>
      <c r="C141" s="39" t="s">
        <v>3210</v>
      </c>
      <c r="D141" s="39" t="s">
        <v>7</v>
      </c>
      <c r="E141" s="39">
        <v>1</v>
      </c>
    </row>
    <row r="142" spans="1:5">
      <c r="A142" s="39" t="s">
        <v>4579</v>
      </c>
      <c r="B142" s="39" t="s">
        <v>4747</v>
      </c>
      <c r="C142" s="39" t="s">
        <v>3210</v>
      </c>
      <c r="D142" s="39" t="s">
        <v>7</v>
      </c>
      <c r="E142" s="39">
        <v>1</v>
      </c>
    </row>
    <row r="143" spans="1:5">
      <c r="A143" s="39" t="s">
        <v>4579</v>
      </c>
      <c r="B143" s="39" t="s">
        <v>4748</v>
      </c>
      <c r="C143" s="39" t="s">
        <v>3212</v>
      </c>
      <c r="D143" s="39" t="s">
        <v>7</v>
      </c>
      <c r="E143" s="39">
        <v>1</v>
      </c>
    </row>
    <row r="144" spans="1:5">
      <c r="A144" s="39" t="s">
        <v>4579</v>
      </c>
      <c r="B144" s="39" t="s">
        <v>4749</v>
      </c>
      <c r="C144" s="39" t="s">
        <v>3212</v>
      </c>
      <c r="D144" s="39" t="s">
        <v>7</v>
      </c>
      <c r="E144" s="39">
        <v>1</v>
      </c>
    </row>
    <row r="145" spans="1:5">
      <c r="A145" s="39" t="s">
        <v>4579</v>
      </c>
      <c r="B145" s="39" t="s">
        <v>4750</v>
      </c>
      <c r="C145" s="39" t="s">
        <v>3212</v>
      </c>
      <c r="D145" s="39" t="s">
        <v>7</v>
      </c>
      <c r="E145" s="39">
        <v>1</v>
      </c>
    </row>
    <row r="146" spans="1:5">
      <c r="A146" s="39" t="s">
        <v>4579</v>
      </c>
      <c r="B146" s="39" t="s">
        <v>4751</v>
      </c>
      <c r="C146" s="39" t="s">
        <v>3212</v>
      </c>
      <c r="D146" s="39" t="s">
        <v>7</v>
      </c>
      <c r="E146" s="39">
        <v>1</v>
      </c>
    </row>
    <row r="147" spans="1:5">
      <c r="A147" s="39" t="s">
        <v>4579</v>
      </c>
      <c r="B147" s="39" t="s">
        <v>4752</v>
      </c>
      <c r="C147" s="39" t="s">
        <v>2478</v>
      </c>
      <c r="D147" s="39" t="s">
        <v>7</v>
      </c>
      <c r="E147" s="39">
        <v>1</v>
      </c>
    </row>
    <row r="148" spans="1:5">
      <c r="A148" s="39" t="s">
        <v>4579</v>
      </c>
      <c r="B148" s="39" t="s">
        <v>4753</v>
      </c>
      <c r="C148" s="39" t="s">
        <v>169</v>
      </c>
      <c r="D148" s="39" t="s">
        <v>7</v>
      </c>
      <c r="E148" s="39">
        <v>1</v>
      </c>
    </row>
    <row r="149" spans="1:5">
      <c r="A149" s="39" t="s">
        <v>4579</v>
      </c>
      <c r="B149" s="39" t="s">
        <v>4754</v>
      </c>
      <c r="C149" s="39" t="s">
        <v>4755</v>
      </c>
      <c r="D149" s="39" t="s">
        <v>7</v>
      </c>
      <c r="E149" s="39">
        <v>1</v>
      </c>
    </row>
    <row r="150" spans="1:5">
      <c r="A150" s="39" t="s">
        <v>4579</v>
      </c>
      <c r="B150" s="39" t="s">
        <v>4756</v>
      </c>
      <c r="C150" s="39" t="s">
        <v>4757</v>
      </c>
      <c r="D150" s="39" t="s">
        <v>7</v>
      </c>
      <c r="E150" s="39">
        <v>1</v>
      </c>
    </row>
    <row r="151" spans="1:5">
      <c r="A151" s="39" t="s">
        <v>4579</v>
      </c>
      <c r="B151" s="39" t="s">
        <v>4758</v>
      </c>
      <c r="C151" s="39" t="s">
        <v>4759</v>
      </c>
      <c r="D151" s="39" t="s">
        <v>7</v>
      </c>
      <c r="E151" s="39">
        <v>1</v>
      </c>
    </row>
    <row r="152" spans="1:5">
      <c r="A152" s="39" t="s">
        <v>4579</v>
      </c>
      <c r="B152" s="39" t="s">
        <v>4760</v>
      </c>
      <c r="C152" s="39" t="s">
        <v>4761</v>
      </c>
      <c r="D152" s="39" t="s">
        <v>7</v>
      </c>
      <c r="E152" s="39">
        <v>1</v>
      </c>
    </row>
    <row r="153" spans="1:5">
      <c r="A153" s="39" t="s">
        <v>4579</v>
      </c>
      <c r="B153" s="39" t="s">
        <v>4762</v>
      </c>
      <c r="C153" s="39" t="s">
        <v>2534</v>
      </c>
      <c r="D153" s="39" t="s">
        <v>7</v>
      </c>
      <c r="E153" s="39">
        <v>1</v>
      </c>
    </row>
    <row r="154" spans="1:5">
      <c r="A154" s="39" t="s">
        <v>4579</v>
      </c>
      <c r="B154" s="39" t="s">
        <v>4763</v>
      </c>
      <c r="C154" s="39" t="s">
        <v>2478</v>
      </c>
      <c r="D154" s="39" t="s">
        <v>7</v>
      </c>
      <c r="E154" s="39">
        <v>1</v>
      </c>
    </row>
    <row r="155" spans="1:5">
      <c r="A155" s="39" t="s">
        <v>4579</v>
      </c>
      <c r="B155" s="39" t="s">
        <v>4764</v>
      </c>
      <c r="C155" s="39" t="s">
        <v>4765</v>
      </c>
      <c r="D155" s="39" t="s">
        <v>7</v>
      </c>
      <c r="E155" s="39">
        <v>1</v>
      </c>
    </row>
    <row r="156" spans="1:5">
      <c r="A156" s="39" t="s">
        <v>4579</v>
      </c>
      <c r="B156" s="39" t="s">
        <v>4766</v>
      </c>
      <c r="C156" s="39" t="s">
        <v>96</v>
      </c>
      <c r="D156" s="39" t="s">
        <v>7</v>
      </c>
      <c r="E156" s="39">
        <v>1</v>
      </c>
    </row>
    <row r="157" spans="1:5">
      <c r="A157" s="39" t="s">
        <v>4579</v>
      </c>
      <c r="B157" s="39" t="s">
        <v>4767</v>
      </c>
      <c r="C157" s="39" t="s">
        <v>96</v>
      </c>
      <c r="D157" s="39" t="s">
        <v>7</v>
      </c>
      <c r="E157" s="39">
        <v>1</v>
      </c>
    </row>
    <row r="158" spans="1:5">
      <c r="A158" s="39" t="s">
        <v>4579</v>
      </c>
      <c r="B158" s="39" t="s">
        <v>4768</v>
      </c>
      <c r="C158" s="39" t="s">
        <v>49</v>
      </c>
      <c r="D158" s="39" t="s">
        <v>7</v>
      </c>
      <c r="E158" s="39">
        <v>1</v>
      </c>
    </row>
    <row r="159" spans="1:5">
      <c r="A159" s="39" t="s">
        <v>4579</v>
      </c>
      <c r="B159" s="39" t="s">
        <v>4769</v>
      </c>
      <c r="C159" s="39" t="s">
        <v>914</v>
      </c>
      <c r="D159" s="39" t="s">
        <v>7</v>
      </c>
      <c r="E159" s="39">
        <v>1</v>
      </c>
    </row>
    <row r="160" spans="1:5">
      <c r="A160" s="39" t="s">
        <v>4579</v>
      </c>
      <c r="B160" s="39" t="s">
        <v>4770</v>
      </c>
      <c r="C160" s="39" t="s">
        <v>4771</v>
      </c>
      <c r="D160" s="39" t="s">
        <v>7</v>
      </c>
      <c r="E160" s="39">
        <v>1</v>
      </c>
    </row>
    <row r="161" spans="1:5">
      <c r="A161" s="39" t="s">
        <v>4579</v>
      </c>
      <c r="B161" s="39" t="s">
        <v>4772</v>
      </c>
      <c r="C161" s="39" t="s">
        <v>49</v>
      </c>
      <c r="D161" s="39" t="s">
        <v>7</v>
      </c>
      <c r="E161" s="39">
        <v>1</v>
      </c>
    </row>
    <row r="162" spans="1:5">
      <c r="A162" s="39" t="s">
        <v>4579</v>
      </c>
      <c r="B162" s="39" t="s">
        <v>4773</v>
      </c>
      <c r="C162" s="39" t="s">
        <v>802</v>
      </c>
      <c r="D162" s="39" t="s">
        <v>7</v>
      </c>
      <c r="E162" s="39">
        <v>1</v>
      </c>
    </row>
    <row r="163" spans="1:5">
      <c r="A163" s="39" t="s">
        <v>4579</v>
      </c>
      <c r="B163" s="39" t="s">
        <v>4774</v>
      </c>
      <c r="C163" s="39" t="s">
        <v>802</v>
      </c>
      <c r="D163" s="39" t="s">
        <v>7</v>
      </c>
      <c r="E163" s="39">
        <v>1</v>
      </c>
    </row>
    <row r="164" spans="1:5">
      <c r="A164" s="39" t="s">
        <v>4579</v>
      </c>
      <c r="B164" s="39" t="s">
        <v>4775</v>
      </c>
      <c r="C164" s="39" t="s">
        <v>362</v>
      </c>
      <c r="D164" s="39" t="s">
        <v>7</v>
      </c>
      <c r="E164" s="39">
        <v>1</v>
      </c>
    </row>
    <row r="165" spans="1:5">
      <c r="A165" s="39" t="s">
        <v>4579</v>
      </c>
      <c r="B165" s="39" t="s">
        <v>4776</v>
      </c>
      <c r="C165" s="39" t="s">
        <v>2012</v>
      </c>
      <c r="D165" s="39" t="s">
        <v>7</v>
      </c>
      <c r="E165" s="39">
        <v>1</v>
      </c>
    </row>
    <row r="166" spans="1:5">
      <c r="A166" s="39" t="s">
        <v>4579</v>
      </c>
      <c r="B166" s="39" t="s">
        <v>4777</v>
      </c>
      <c r="C166" s="39" t="s">
        <v>4778</v>
      </c>
      <c r="D166" s="39" t="s">
        <v>7</v>
      </c>
      <c r="E166" s="39">
        <v>1</v>
      </c>
    </row>
    <row r="167" spans="1:5">
      <c r="A167" s="39" t="s">
        <v>4579</v>
      </c>
      <c r="B167" s="39" t="s">
        <v>4779</v>
      </c>
      <c r="C167" s="39" t="s">
        <v>4778</v>
      </c>
      <c r="D167" s="39" t="s">
        <v>7</v>
      </c>
      <c r="E167" s="39">
        <v>1</v>
      </c>
    </row>
    <row r="168" spans="1:5">
      <c r="A168" s="39" t="s">
        <v>4579</v>
      </c>
      <c r="B168" s="39" t="s">
        <v>4780</v>
      </c>
      <c r="C168" s="39" t="s">
        <v>96</v>
      </c>
      <c r="D168" s="39" t="s">
        <v>7</v>
      </c>
      <c r="E168" s="39">
        <v>1</v>
      </c>
    </row>
    <row r="169" spans="1:5">
      <c r="A169" s="39" t="s">
        <v>4579</v>
      </c>
      <c r="B169" s="39" t="s">
        <v>4781</v>
      </c>
      <c r="C169" s="39" t="s">
        <v>96</v>
      </c>
      <c r="D169" s="39" t="s">
        <v>7</v>
      </c>
      <c r="E169" s="39">
        <v>1</v>
      </c>
    </row>
    <row r="170" spans="1:5">
      <c r="A170" s="39" t="s">
        <v>4579</v>
      </c>
      <c r="B170" s="39" t="s">
        <v>4782</v>
      </c>
      <c r="C170" s="39" t="s">
        <v>96</v>
      </c>
      <c r="D170" s="39" t="s">
        <v>7</v>
      </c>
      <c r="E170" s="39">
        <v>1</v>
      </c>
    </row>
    <row r="171" spans="1:5">
      <c r="A171" s="39" t="s">
        <v>4579</v>
      </c>
      <c r="B171" s="39" t="s">
        <v>4783</v>
      </c>
      <c r="C171" s="39" t="s">
        <v>96</v>
      </c>
      <c r="D171" s="39" t="s">
        <v>7</v>
      </c>
      <c r="E171" s="39">
        <v>1</v>
      </c>
    </row>
    <row r="172" spans="1:5">
      <c r="A172" s="39" t="s">
        <v>4579</v>
      </c>
      <c r="B172" s="39" t="s">
        <v>4784</v>
      </c>
      <c r="C172" s="39" t="s">
        <v>96</v>
      </c>
      <c r="D172" s="39" t="s">
        <v>7</v>
      </c>
      <c r="E172" s="39">
        <v>1</v>
      </c>
    </row>
    <row r="173" spans="1:5">
      <c r="A173" s="39" t="s">
        <v>4579</v>
      </c>
      <c r="B173" s="39" t="s">
        <v>4785</v>
      </c>
      <c r="C173" s="39" t="s">
        <v>96</v>
      </c>
      <c r="D173" s="39" t="s">
        <v>7</v>
      </c>
      <c r="E173" s="39">
        <v>1</v>
      </c>
    </row>
    <row r="174" spans="1:5">
      <c r="A174" s="39" t="s">
        <v>4579</v>
      </c>
      <c r="B174" s="39" t="s">
        <v>4786</v>
      </c>
      <c r="C174" s="39" t="s">
        <v>96</v>
      </c>
      <c r="D174" s="39" t="s">
        <v>7</v>
      </c>
      <c r="E174" s="39">
        <v>1</v>
      </c>
    </row>
    <row r="175" spans="1:5">
      <c r="A175" s="39" t="s">
        <v>4579</v>
      </c>
      <c r="B175" s="39" t="s">
        <v>4787</v>
      </c>
      <c r="C175" s="39" t="s">
        <v>96</v>
      </c>
      <c r="D175" s="39" t="s">
        <v>7</v>
      </c>
      <c r="E175" s="39">
        <v>1</v>
      </c>
    </row>
    <row r="176" spans="1:5">
      <c r="A176" s="39" t="s">
        <v>4579</v>
      </c>
      <c r="B176" s="39" t="s">
        <v>4788</v>
      </c>
      <c r="C176" s="39" t="s">
        <v>96</v>
      </c>
      <c r="D176" s="39" t="s">
        <v>7</v>
      </c>
      <c r="E176" s="39">
        <v>1</v>
      </c>
    </row>
    <row r="177" spans="1:5">
      <c r="A177" s="39" t="s">
        <v>4579</v>
      </c>
      <c r="B177" s="39" t="s">
        <v>4789</v>
      </c>
      <c r="C177" s="39" t="s">
        <v>96</v>
      </c>
      <c r="D177" s="39" t="s">
        <v>7</v>
      </c>
      <c r="E177" s="39">
        <v>1</v>
      </c>
    </row>
    <row r="178" spans="1:5">
      <c r="A178" s="39" t="s">
        <v>4579</v>
      </c>
      <c r="B178" s="39" t="s">
        <v>4790</v>
      </c>
      <c r="C178" s="39" t="s">
        <v>96</v>
      </c>
      <c r="D178" s="39" t="s">
        <v>7</v>
      </c>
      <c r="E178" s="39">
        <v>1</v>
      </c>
    </row>
    <row r="179" spans="1:5">
      <c r="A179" s="39" t="s">
        <v>4579</v>
      </c>
      <c r="B179" s="39" t="s">
        <v>4791</v>
      </c>
      <c r="C179" s="39" t="s">
        <v>96</v>
      </c>
      <c r="D179" s="39" t="s">
        <v>7</v>
      </c>
      <c r="E179" s="39">
        <v>1</v>
      </c>
    </row>
    <row r="180" spans="1:5">
      <c r="A180" s="39" t="s">
        <v>4579</v>
      </c>
      <c r="B180" s="39" t="s">
        <v>4792</v>
      </c>
      <c r="C180" s="39" t="s">
        <v>96</v>
      </c>
      <c r="D180" s="39" t="s">
        <v>7</v>
      </c>
      <c r="E180" s="39">
        <v>1</v>
      </c>
    </row>
    <row r="181" spans="1:5">
      <c r="A181" s="39" t="s">
        <v>4579</v>
      </c>
      <c r="B181" s="39" t="s">
        <v>4793</v>
      </c>
      <c r="C181" s="39" t="s">
        <v>96</v>
      </c>
      <c r="D181" s="39" t="s">
        <v>7</v>
      </c>
      <c r="E181" s="39">
        <v>1</v>
      </c>
    </row>
    <row r="182" spans="1:5">
      <c r="A182" s="39" t="s">
        <v>4579</v>
      </c>
      <c r="B182" s="39" t="s">
        <v>4794</v>
      </c>
      <c r="C182" s="39" t="s">
        <v>96</v>
      </c>
      <c r="D182" s="39" t="s">
        <v>7</v>
      </c>
      <c r="E182" s="39">
        <v>1</v>
      </c>
    </row>
    <row r="183" spans="1:5">
      <c r="A183" s="39" t="s">
        <v>4579</v>
      </c>
      <c r="B183" s="39" t="s">
        <v>4795</v>
      </c>
      <c r="C183" s="39" t="s">
        <v>96</v>
      </c>
      <c r="D183" s="39" t="s">
        <v>7</v>
      </c>
      <c r="E183" s="39">
        <v>1</v>
      </c>
    </row>
    <row r="184" spans="1:5">
      <c r="A184" s="39" t="s">
        <v>4579</v>
      </c>
      <c r="B184" s="39" t="s">
        <v>4796</v>
      </c>
      <c r="C184" s="39" t="s">
        <v>96</v>
      </c>
      <c r="D184" s="39" t="s">
        <v>7</v>
      </c>
      <c r="E184" s="39">
        <v>1</v>
      </c>
    </row>
    <row r="185" spans="1:5">
      <c r="A185" s="39" t="s">
        <v>4579</v>
      </c>
      <c r="B185" s="39" t="s">
        <v>4797</v>
      </c>
      <c r="C185" s="39" t="s">
        <v>96</v>
      </c>
      <c r="D185" s="39" t="s">
        <v>7</v>
      </c>
      <c r="E185" s="39">
        <v>1</v>
      </c>
    </row>
    <row r="186" spans="1:5">
      <c r="A186" s="39" t="s">
        <v>4579</v>
      </c>
      <c r="B186" s="39" t="s">
        <v>4798</v>
      </c>
      <c r="C186" s="39" t="s">
        <v>96</v>
      </c>
      <c r="D186" s="39" t="s">
        <v>7</v>
      </c>
      <c r="E186" s="39">
        <v>1</v>
      </c>
    </row>
    <row r="187" spans="1:5">
      <c r="A187" s="39" t="s">
        <v>4579</v>
      </c>
      <c r="B187" s="39" t="s">
        <v>4799</v>
      </c>
      <c r="C187" s="39" t="s">
        <v>96</v>
      </c>
      <c r="D187" s="39" t="s">
        <v>7</v>
      </c>
      <c r="E187" s="39">
        <v>1</v>
      </c>
    </row>
    <row r="188" spans="1:5">
      <c r="A188" s="39" t="s">
        <v>4579</v>
      </c>
      <c r="B188" s="39" t="s">
        <v>4800</v>
      </c>
      <c r="C188" s="39" t="s">
        <v>96</v>
      </c>
      <c r="D188" s="39" t="s">
        <v>7</v>
      </c>
      <c r="E188" s="39">
        <v>1</v>
      </c>
    </row>
    <row r="189" spans="1:5">
      <c r="A189" s="39" t="s">
        <v>4579</v>
      </c>
      <c r="B189" s="39" t="s">
        <v>4801</v>
      </c>
      <c r="C189" s="39" t="s">
        <v>96</v>
      </c>
      <c r="D189" s="39" t="s">
        <v>7</v>
      </c>
      <c r="E189" s="39">
        <v>1</v>
      </c>
    </row>
    <row r="190" spans="1:5">
      <c r="A190" s="39" t="s">
        <v>4579</v>
      </c>
      <c r="B190" s="39" t="s">
        <v>4802</v>
      </c>
      <c r="C190" s="39" t="s">
        <v>96</v>
      </c>
      <c r="D190" s="39" t="s">
        <v>7</v>
      </c>
      <c r="E190" s="39">
        <v>1</v>
      </c>
    </row>
    <row r="191" spans="1:5">
      <c r="A191" s="39" t="s">
        <v>4579</v>
      </c>
      <c r="B191" s="39" t="s">
        <v>4803</v>
      </c>
      <c r="C191" s="39" t="s">
        <v>96</v>
      </c>
      <c r="D191" s="39" t="s">
        <v>7</v>
      </c>
      <c r="E191" s="39">
        <v>1</v>
      </c>
    </row>
    <row r="192" spans="1:5">
      <c r="A192" s="39" t="s">
        <v>4579</v>
      </c>
      <c r="B192" s="39" t="s">
        <v>4804</v>
      </c>
      <c r="C192" s="39" t="s">
        <v>96</v>
      </c>
      <c r="D192" s="39" t="s">
        <v>7</v>
      </c>
      <c r="E192" s="39">
        <v>1</v>
      </c>
    </row>
    <row r="193" spans="1:5">
      <c r="A193" s="39" t="s">
        <v>4579</v>
      </c>
      <c r="B193" s="39" t="s">
        <v>4805</v>
      </c>
      <c r="C193" s="39" t="s">
        <v>96</v>
      </c>
      <c r="D193" s="39" t="s">
        <v>7</v>
      </c>
      <c r="E193" s="39">
        <v>1</v>
      </c>
    </row>
    <row r="194" spans="1:5">
      <c r="A194" s="39" t="s">
        <v>4579</v>
      </c>
      <c r="B194" s="39" t="s">
        <v>4806</v>
      </c>
      <c r="C194" s="39" t="s">
        <v>96</v>
      </c>
      <c r="D194" s="39" t="s">
        <v>7</v>
      </c>
      <c r="E194" s="39">
        <v>1</v>
      </c>
    </row>
    <row r="195" spans="1:5">
      <c r="A195" s="39" t="s">
        <v>4579</v>
      </c>
      <c r="B195" s="39" t="s">
        <v>4807</v>
      </c>
      <c r="C195" s="39" t="s">
        <v>96</v>
      </c>
      <c r="D195" s="39" t="s">
        <v>7</v>
      </c>
      <c r="E195" s="39">
        <v>1</v>
      </c>
    </row>
    <row r="196" spans="1:5">
      <c r="A196" s="39" t="s">
        <v>4579</v>
      </c>
      <c r="B196" s="39" t="s">
        <v>4808</v>
      </c>
      <c r="C196" s="39" t="s">
        <v>96</v>
      </c>
      <c r="D196" s="39" t="s">
        <v>7</v>
      </c>
      <c r="E196" s="39">
        <v>1</v>
      </c>
    </row>
    <row r="197" spans="1:5">
      <c r="A197" s="39" t="s">
        <v>4579</v>
      </c>
      <c r="B197" s="39" t="s">
        <v>4809</v>
      </c>
      <c r="C197" s="39" t="s">
        <v>96</v>
      </c>
      <c r="D197" s="39" t="s">
        <v>7</v>
      </c>
      <c r="E197" s="39">
        <v>1</v>
      </c>
    </row>
    <row r="198" spans="1:5">
      <c r="A198" s="39" t="s">
        <v>4579</v>
      </c>
      <c r="B198" s="39" t="s">
        <v>4810</v>
      </c>
      <c r="C198" s="39" t="s">
        <v>96</v>
      </c>
      <c r="D198" s="39" t="s">
        <v>7</v>
      </c>
      <c r="E198" s="39">
        <v>1</v>
      </c>
    </row>
    <row r="199" spans="1:5">
      <c r="A199" s="39" t="s">
        <v>4579</v>
      </c>
      <c r="B199" s="39" t="s">
        <v>4811</v>
      </c>
      <c r="C199" s="39" t="s">
        <v>96</v>
      </c>
      <c r="D199" s="39" t="s">
        <v>7</v>
      </c>
      <c r="E199" s="39">
        <v>1</v>
      </c>
    </row>
    <row r="200" spans="1:5">
      <c r="A200" s="39" t="s">
        <v>4579</v>
      </c>
      <c r="B200" s="39" t="s">
        <v>4812</v>
      </c>
      <c r="C200" s="39" t="s">
        <v>96</v>
      </c>
      <c r="D200" s="39" t="s">
        <v>7</v>
      </c>
      <c r="E200" s="39">
        <v>1</v>
      </c>
    </row>
    <row r="201" spans="1:5">
      <c r="A201" s="39" t="s">
        <v>4579</v>
      </c>
      <c r="B201" s="39" t="s">
        <v>4813</v>
      </c>
      <c r="C201" s="39" t="s">
        <v>96</v>
      </c>
      <c r="D201" s="39" t="s">
        <v>7</v>
      </c>
      <c r="E201" s="39">
        <v>1</v>
      </c>
    </row>
    <row r="202" spans="1:5">
      <c r="A202" s="39" t="s">
        <v>4579</v>
      </c>
      <c r="B202" s="39" t="s">
        <v>4814</v>
      </c>
      <c r="C202" s="39" t="s">
        <v>96</v>
      </c>
      <c r="D202" s="39" t="s">
        <v>7</v>
      </c>
      <c r="E202" s="39">
        <v>1</v>
      </c>
    </row>
    <row r="203" spans="1:5">
      <c r="A203" s="39" t="s">
        <v>4579</v>
      </c>
      <c r="B203" s="39" t="s">
        <v>4815</v>
      </c>
      <c r="C203" s="39" t="s">
        <v>96</v>
      </c>
      <c r="D203" s="39" t="s">
        <v>7</v>
      </c>
      <c r="E203" s="39">
        <v>1</v>
      </c>
    </row>
    <row r="204" spans="1:5">
      <c r="A204" s="39" t="s">
        <v>4579</v>
      </c>
      <c r="B204" s="39" t="s">
        <v>4816</v>
      </c>
      <c r="C204" s="39" t="s">
        <v>96</v>
      </c>
      <c r="D204" s="39" t="s">
        <v>7</v>
      </c>
      <c r="E204" s="39">
        <v>1</v>
      </c>
    </row>
    <row r="205" spans="1:5">
      <c r="A205" s="39" t="s">
        <v>4579</v>
      </c>
      <c r="B205" s="39" t="s">
        <v>4817</v>
      </c>
      <c r="C205" s="39" t="s">
        <v>96</v>
      </c>
      <c r="D205" s="39" t="s">
        <v>7</v>
      </c>
      <c r="E205" s="39">
        <v>1</v>
      </c>
    </row>
    <row r="206" spans="1:5">
      <c r="A206" s="39" t="s">
        <v>4579</v>
      </c>
      <c r="B206" s="39" t="s">
        <v>4818</v>
      </c>
      <c r="C206" s="39" t="s">
        <v>96</v>
      </c>
      <c r="D206" s="39" t="s">
        <v>7</v>
      </c>
      <c r="E206" s="39">
        <v>1</v>
      </c>
    </row>
    <row r="207" spans="1:5">
      <c r="A207" s="39" t="s">
        <v>4579</v>
      </c>
      <c r="B207" s="39" t="s">
        <v>4819</v>
      </c>
      <c r="C207" s="39" t="s">
        <v>96</v>
      </c>
      <c r="D207" s="39" t="s">
        <v>7</v>
      </c>
      <c r="E207" s="39">
        <v>1</v>
      </c>
    </row>
    <row r="208" spans="1:5">
      <c r="A208" s="39" t="s">
        <v>4579</v>
      </c>
      <c r="B208" s="39" t="s">
        <v>4820</v>
      </c>
      <c r="C208" s="39" t="s">
        <v>96</v>
      </c>
      <c r="D208" s="39" t="s">
        <v>7</v>
      </c>
      <c r="E208" s="39">
        <v>1</v>
      </c>
    </row>
    <row r="209" spans="1:5">
      <c r="A209" s="39" t="s">
        <v>4579</v>
      </c>
      <c r="B209" s="39" t="s">
        <v>4821</v>
      </c>
      <c r="C209" s="39" t="s">
        <v>96</v>
      </c>
      <c r="D209" s="39" t="s">
        <v>7</v>
      </c>
      <c r="E209" s="39">
        <v>1</v>
      </c>
    </row>
    <row r="210" spans="1:5">
      <c r="A210" s="39" t="s">
        <v>4579</v>
      </c>
      <c r="B210" s="39" t="s">
        <v>4822</v>
      </c>
      <c r="C210" s="39" t="s">
        <v>96</v>
      </c>
      <c r="D210" s="39" t="s">
        <v>7</v>
      </c>
      <c r="E210" s="39">
        <v>1</v>
      </c>
    </row>
    <row r="211" spans="1:5">
      <c r="A211" s="39" t="s">
        <v>4579</v>
      </c>
      <c r="B211" s="39" t="s">
        <v>4823</v>
      </c>
      <c r="C211" s="39" t="s">
        <v>96</v>
      </c>
      <c r="D211" s="39" t="s">
        <v>7</v>
      </c>
      <c r="E211" s="39">
        <v>1</v>
      </c>
    </row>
    <row r="212" spans="1:5">
      <c r="A212" s="39" t="s">
        <v>4579</v>
      </c>
      <c r="B212" s="39" t="s">
        <v>4824</v>
      </c>
      <c r="C212" s="39" t="s">
        <v>96</v>
      </c>
      <c r="D212" s="39" t="s">
        <v>7</v>
      </c>
      <c r="E212" s="39">
        <v>1</v>
      </c>
    </row>
    <row r="213" spans="1:5">
      <c r="A213" s="39" t="s">
        <v>4579</v>
      </c>
      <c r="B213" s="39" t="s">
        <v>4825</v>
      </c>
      <c r="C213" s="39" t="s">
        <v>96</v>
      </c>
      <c r="D213" s="39" t="s">
        <v>7</v>
      </c>
      <c r="E213" s="39">
        <v>1</v>
      </c>
    </row>
    <row r="214" spans="1:5">
      <c r="A214" s="39" t="s">
        <v>4579</v>
      </c>
      <c r="B214" s="39" t="s">
        <v>4826</v>
      </c>
      <c r="C214" s="39" t="s">
        <v>96</v>
      </c>
      <c r="D214" s="39" t="s">
        <v>7</v>
      </c>
      <c r="E214" s="39">
        <v>1</v>
      </c>
    </row>
    <row r="215" spans="1:5">
      <c r="A215" s="39" t="s">
        <v>4579</v>
      </c>
      <c r="B215" s="39" t="s">
        <v>4827</v>
      </c>
      <c r="C215" s="39" t="s">
        <v>96</v>
      </c>
      <c r="D215" s="39" t="s">
        <v>7</v>
      </c>
      <c r="E215" s="39">
        <v>1</v>
      </c>
    </row>
    <row r="216" spans="1:5">
      <c r="A216" s="39" t="s">
        <v>4579</v>
      </c>
      <c r="B216" s="39" t="s">
        <v>4828</v>
      </c>
      <c r="C216" s="39" t="s">
        <v>96</v>
      </c>
      <c r="D216" s="39" t="s">
        <v>7</v>
      </c>
      <c r="E216" s="39">
        <v>1</v>
      </c>
    </row>
    <row r="217" spans="1:5">
      <c r="A217" s="39" t="s">
        <v>4579</v>
      </c>
      <c r="B217" s="39" t="s">
        <v>4829</v>
      </c>
      <c r="C217" s="39" t="s">
        <v>96</v>
      </c>
      <c r="D217" s="39" t="s">
        <v>7</v>
      </c>
      <c r="E217" s="39">
        <v>1</v>
      </c>
    </row>
    <row r="218" spans="1:5">
      <c r="A218" s="39" t="s">
        <v>4579</v>
      </c>
      <c r="B218" s="39" t="s">
        <v>4830</v>
      </c>
      <c r="C218" s="39" t="s">
        <v>95</v>
      </c>
      <c r="D218" s="39" t="s">
        <v>7</v>
      </c>
      <c r="E218" s="39">
        <v>1</v>
      </c>
    </row>
    <row r="219" spans="1:5">
      <c r="A219" s="39" t="s">
        <v>4579</v>
      </c>
      <c r="B219" s="39" t="s">
        <v>4831</v>
      </c>
      <c r="C219" s="39" t="s">
        <v>95</v>
      </c>
      <c r="D219" s="39" t="s">
        <v>7</v>
      </c>
      <c r="E219" s="39">
        <v>1</v>
      </c>
    </row>
    <row r="220" spans="1:5">
      <c r="A220" s="39" t="s">
        <v>4579</v>
      </c>
      <c r="B220" s="39" t="s">
        <v>4832</v>
      </c>
      <c r="C220" s="39" t="s">
        <v>95</v>
      </c>
      <c r="D220" s="39" t="s">
        <v>7</v>
      </c>
      <c r="E220" s="39">
        <v>1</v>
      </c>
    </row>
    <row r="221" spans="1:5">
      <c r="A221" s="39" t="s">
        <v>4579</v>
      </c>
      <c r="B221" s="39" t="s">
        <v>4833</v>
      </c>
      <c r="C221" s="39" t="s">
        <v>1611</v>
      </c>
      <c r="D221" s="39" t="s">
        <v>7</v>
      </c>
      <c r="E221" s="39">
        <v>1</v>
      </c>
    </row>
    <row r="222" spans="1:5">
      <c r="A222" s="39" t="s">
        <v>4579</v>
      </c>
      <c r="B222" s="39" t="s">
        <v>4834</v>
      </c>
      <c r="C222" s="39" t="s">
        <v>94</v>
      </c>
      <c r="D222" s="39" t="s">
        <v>7</v>
      </c>
      <c r="E222" s="39">
        <v>1</v>
      </c>
    </row>
    <row r="223" spans="1:5">
      <c r="A223" s="39" t="s">
        <v>4579</v>
      </c>
      <c r="B223" s="39" t="s">
        <v>4835</v>
      </c>
      <c r="C223" s="39" t="s">
        <v>4836</v>
      </c>
      <c r="D223" s="39" t="s">
        <v>7</v>
      </c>
      <c r="E223" s="39">
        <v>1</v>
      </c>
    </row>
    <row r="224" spans="1:5">
      <c r="A224" s="39" t="s">
        <v>4579</v>
      </c>
      <c r="B224" s="39" t="s">
        <v>4837</v>
      </c>
      <c r="C224" s="39" t="s">
        <v>108</v>
      </c>
      <c r="D224" s="39" t="s">
        <v>7</v>
      </c>
      <c r="E224" s="39">
        <v>1</v>
      </c>
    </row>
    <row r="225" spans="1:5">
      <c r="A225" s="39" t="s">
        <v>4579</v>
      </c>
      <c r="B225" s="39" t="s">
        <v>4838</v>
      </c>
      <c r="C225" s="39" t="s">
        <v>4839</v>
      </c>
      <c r="D225" s="39" t="s">
        <v>7</v>
      </c>
      <c r="E225" s="39">
        <v>1</v>
      </c>
    </row>
    <row r="226" spans="1:5">
      <c r="A226" s="39" t="s">
        <v>4579</v>
      </c>
      <c r="B226" s="39" t="s">
        <v>4840</v>
      </c>
      <c r="C226" s="39" t="s">
        <v>811</v>
      </c>
      <c r="D226" s="39" t="s">
        <v>7</v>
      </c>
      <c r="E226" s="39">
        <v>1</v>
      </c>
    </row>
    <row r="227" spans="1:5">
      <c r="A227" s="39" t="s">
        <v>4579</v>
      </c>
      <c r="B227" s="39" t="s">
        <v>4841</v>
      </c>
      <c r="C227" s="39" t="s">
        <v>4842</v>
      </c>
      <c r="D227" s="39" t="s">
        <v>7</v>
      </c>
      <c r="E227" s="39">
        <v>1</v>
      </c>
    </row>
    <row r="228" spans="1:5">
      <c r="A228" s="39" t="s">
        <v>4579</v>
      </c>
      <c r="B228" s="39" t="s">
        <v>4843</v>
      </c>
      <c r="C228" s="39" t="s">
        <v>4844</v>
      </c>
      <c r="D228" s="39" t="s">
        <v>7</v>
      </c>
      <c r="E228" s="39">
        <v>1</v>
      </c>
    </row>
    <row r="229" spans="1:5">
      <c r="A229" s="39" t="s">
        <v>4579</v>
      </c>
      <c r="B229" s="39" t="s">
        <v>4845</v>
      </c>
      <c r="C229" s="39" t="s">
        <v>4844</v>
      </c>
      <c r="D229" s="39" t="s">
        <v>7</v>
      </c>
      <c r="E229" s="39">
        <v>1</v>
      </c>
    </row>
    <row r="230" spans="1:5">
      <c r="A230" s="39" t="s">
        <v>4579</v>
      </c>
      <c r="B230" s="39" t="s">
        <v>4846</v>
      </c>
      <c r="C230" s="39" t="s">
        <v>4847</v>
      </c>
      <c r="D230" s="39" t="s">
        <v>7</v>
      </c>
      <c r="E230" s="39">
        <v>1</v>
      </c>
    </row>
    <row r="231" spans="1:5">
      <c r="A231" s="39" t="s">
        <v>4579</v>
      </c>
      <c r="B231" s="39" t="s">
        <v>4848</v>
      </c>
      <c r="C231" s="39" t="s">
        <v>4847</v>
      </c>
      <c r="D231" s="39" t="s">
        <v>7</v>
      </c>
      <c r="E231" s="39">
        <v>1</v>
      </c>
    </row>
    <row r="232" spans="1:5">
      <c r="A232" s="39" t="s">
        <v>4579</v>
      </c>
      <c r="B232" s="39" t="s">
        <v>4849</v>
      </c>
      <c r="C232" s="39" t="s">
        <v>4850</v>
      </c>
      <c r="D232" s="39" t="s">
        <v>7</v>
      </c>
      <c r="E232" s="39">
        <v>1</v>
      </c>
    </row>
    <row r="233" spans="1:5">
      <c r="A233" s="39" t="s">
        <v>4579</v>
      </c>
      <c r="B233" s="39" t="s">
        <v>4851</v>
      </c>
      <c r="C233" s="39" t="s">
        <v>4850</v>
      </c>
      <c r="D233" s="39" t="s">
        <v>7</v>
      </c>
      <c r="E233" s="39">
        <v>1</v>
      </c>
    </row>
    <row r="234" spans="1:5">
      <c r="A234" s="39" t="s">
        <v>4579</v>
      </c>
      <c r="B234" s="39" t="s">
        <v>4852</v>
      </c>
      <c r="C234" s="39" t="s">
        <v>811</v>
      </c>
      <c r="D234" s="39" t="s">
        <v>7</v>
      </c>
      <c r="E234" s="39">
        <v>1</v>
      </c>
    </row>
    <row r="235" spans="1:5">
      <c r="A235" s="39" t="s">
        <v>4579</v>
      </c>
      <c r="B235" s="39" t="s">
        <v>4853</v>
      </c>
      <c r="C235" s="39" t="s">
        <v>96</v>
      </c>
      <c r="D235" s="39" t="s">
        <v>7</v>
      </c>
      <c r="E235" s="39">
        <v>1</v>
      </c>
    </row>
    <row r="236" spans="1:5">
      <c r="A236" s="39" t="s">
        <v>4579</v>
      </c>
      <c r="B236" s="39" t="s">
        <v>4854</v>
      </c>
      <c r="C236" s="39" t="s">
        <v>49</v>
      </c>
      <c r="D236" s="39" t="s">
        <v>7</v>
      </c>
      <c r="E236" s="39">
        <v>1</v>
      </c>
    </row>
    <row r="237" spans="1:5">
      <c r="A237" s="39" t="s">
        <v>4579</v>
      </c>
      <c r="B237" s="39" t="s">
        <v>4855</v>
      </c>
      <c r="C237" s="39" t="s">
        <v>4856</v>
      </c>
      <c r="D237" s="39" t="s">
        <v>7</v>
      </c>
      <c r="E237" s="39">
        <v>1</v>
      </c>
    </row>
    <row r="238" spans="1:5">
      <c r="A238" s="39" t="s">
        <v>4579</v>
      </c>
      <c r="B238" s="39" t="s">
        <v>4857</v>
      </c>
      <c r="C238" s="39" t="s">
        <v>4858</v>
      </c>
      <c r="D238" s="39" t="s">
        <v>7</v>
      </c>
      <c r="E238" s="39">
        <v>1</v>
      </c>
    </row>
    <row r="239" spans="1:5">
      <c r="A239" s="39" t="s">
        <v>4579</v>
      </c>
      <c r="B239" s="39" t="s">
        <v>4859</v>
      </c>
      <c r="C239" s="39" t="s">
        <v>4860</v>
      </c>
      <c r="D239" s="39" t="s">
        <v>7</v>
      </c>
      <c r="E239" s="39">
        <v>1</v>
      </c>
    </row>
    <row r="240" spans="1:5">
      <c r="A240" s="39" t="s">
        <v>4579</v>
      </c>
      <c r="B240" s="39" t="s">
        <v>4861</v>
      </c>
      <c r="C240" s="39" t="s">
        <v>4862</v>
      </c>
      <c r="D240" s="39" t="s">
        <v>7</v>
      </c>
      <c r="E240" s="39">
        <v>1</v>
      </c>
    </row>
    <row r="241" spans="1:5">
      <c r="A241" s="39" t="s">
        <v>4579</v>
      </c>
      <c r="B241" s="39" t="s">
        <v>4863</v>
      </c>
      <c r="C241" s="39" t="s">
        <v>4864</v>
      </c>
      <c r="D241" s="39" t="s">
        <v>7</v>
      </c>
      <c r="E241" s="39">
        <v>1</v>
      </c>
    </row>
    <row r="242" spans="1:5">
      <c r="A242" s="39" t="s">
        <v>4579</v>
      </c>
      <c r="B242" s="39" t="s">
        <v>4865</v>
      </c>
      <c r="C242" s="39" t="s">
        <v>4866</v>
      </c>
      <c r="D242" s="39" t="s">
        <v>7</v>
      </c>
      <c r="E242" s="39">
        <v>1</v>
      </c>
    </row>
    <row r="243" spans="1:5">
      <c r="A243" s="39" t="s">
        <v>4579</v>
      </c>
      <c r="B243" s="39" t="s">
        <v>4867</v>
      </c>
      <c r="C243" s="39" t="s">
        <v>4868</v>
      </c>
      <c r="D243" s="39" t="s">
        <v>7</v>
      </c>
      <c r="E243" s="39">
        <v>1</v>
      </c>
    </row>
    <row r="244" spans="1:5">
      <c r="A244" s="39" t="s">
        <v>4579</v>
      </c>
      <c r="B244" s="39" t="s">
        <v>4869</v>
      </c>
      <c r="C244" s="39" t="s">
        <v>4868</v>
      </c>
      <c r="D244" s="39" t="s">
        <v>7</v>
      </c>
      <c r="E244" s="39">
        <v>1</v>
      </c>
    </row>
    <row r="245" spans="1:5">
      <c r="A245" s="39" t="s">
        <v>4579</v>
      </c>
      <c r="B245" s="39" t="s">
        <v>4870</v>
      </c>
      <c r="C245" s="39" t="s">
        <v>4868</v>
      </c>
      <c r="D245" s="39" t="s">
        <v>7</v>
      </c>
      <c r="E245" s="39">
        <v>1</v>
      </c>
    </row>
    <row r="246" spans="1:5">
      <c r="A246" s="39" t="s">
        <v>4579</v>
      </c>
      <c r="B246" s="39" t="s">
        <v>4871</v>
      </c>
      <c r="C246" s="39" t="s">
        <v>4868</v>
      </c>
      <c r="D246" s="39" t="s">
        <v>7</v>
      </c>
      <c r="E246" s="39">
        <v>1</v>
      </c>
    </row>
    <row r="247" spans="1:5">
      <c r="A247" s="39" t="s">
        <v>4579</v>
      </c>
      <c r="B247" s="39" t="s">
        <v>4872</v>
      </c>
      <c r="C247" s="39" t="s">
        <v>4873</v>
      </c>
      <c r="D247" s="39" t="s">
        <v>7</v>
      </c>
      <c r="E247" s="39">
        <v>1</v>
      </c>
    </row>
    <row r="248" spans="1:5">
      <c r="A248" s="39" t="s">
        <v>4579</v>
      </c>
      <c r="B248" s="39" t="s">
        <v>4874</v>
      </c>
      <c r="C248" s="39" t="s">
        <v>4873</v>
      </c>
      <c r="D248" s="39" t="s">
        <v>7</v>
      </c>
      <c r="E248" s="39">
        <v>1</v>
      </c>
    </row>
    <row r="249" spans="1:5">
      <c r="A249" s="39" t="s">
        <v>4579</v>
      </c>
      <c r="B249" s="39" t="s">
        <v>4875</v>
      </c>
      <c r="C249" s="39" t="s">
        <v>4873</v>
      </c>
      <c r="D249" s="39" t="s">
        <v>7</v>
      </c>
      <c r="E249" s="39">
        <v>1</v>
      </c>
    </row>
    <row r="250" spans="1:5">
      <c r="A250" s="39" t="s">
        <v>4579</v>
      </c>
      <c r="B250" s="39" t="s">
        <v>4876</v>
      </c>
      <c r="C250" s="39" t="s">
        <v>4873</v>
      </c>
      <c r="D250" s="39" t="s">
        <v>7</v>
      </c>
      <c r="E250" s="39">
        <v>1</v>
      </c>
    </row>
    <row r="251" spans="1:5">
      <c r="A251" s="39" t="s">
        <v>4579</v>
      </c>
      <c r="B251" s="39" t="s">
        <v>4877</v>
      </c>
      <c r="C251" s="39" t="s">
        <v>4878</v>
      </c>
      <c r="D251" s="39" t="s">
        <v>7</v>
      </c>
      <c r="E251" s="39">
        <v>1</v>
      </c>
    </row>
    <row r="252" spans="1:5">
      <c r="A252" s="39" t="s">
        <v>4579</v>
      </c>
      <c r="B252" s="39" t="s">
        <v>4879</v>
      </c>
      <c r="C252" s="39" t="s">
        <v>4880</v>
      </c>
      <c r="D252" s="39" t="s">
        <v>7</v>
      </c>
      <c r="E252" s="39">
        <v>1</v>
      </c>
    </row>
    <row r="253" spans="1:5">
      <c r="A253" s="39" t="s">
        <v>4579</v>
      </c>
      <c r="B253" s="39" t="s">
        <v>4881</v>
      </c>
      <c r="C253" s="39" t="s">
        <v>4882</v>
      </c>
      <c r="D253" s="39" t="s">
        <v>7</v>
      </c>
      <c r="E253" s="39">
        <v>1</v>
      </c>
    </row>
    <row r="254" spans="1:5">
      <c r="A254" s="39" t="s">
        <v>4579</v>
      </c>
      <c r="B254" s="39" t="s">
        <v>4883</v>
      </c>
      <c r="C254" s="39" t="s">
        <v>4884</v>
      </c>
      <c r="D254" s="39" t="s">
        <v>7</v>
      </c>
      <c r="E254" s="39">
        <v>1</v>
      </c>
    </row>
    <row r="255" spans="1:5">
      <c r="A255" s="39" t="s">
        <v>4579</v>
      </c>
      <c r="B255" s="39" t="s">
        <v>4885</v>
      </c>
      <c r="C255" s="39" t="s">
        <v>4886</v>
      </c>
      <c r="D255" s="39" t="s">
        <v>7</v>
      </c>
      <c r="E255" s="39">
        <v>1</v>
      </c>
    </row>
    <row r="256" spans="1:5">
      <c r="A256" s="39" t="s">
        <v>4579</v>
      </c>
      <c r="B256" s="39" t="s">
        <v>4887</v>
      </c>
      <c r="C256" s="39" t="s">
        <v>4888</v>
      </c>
      <c r="D256" s="39" t="s">
        <v>7</v>
      </c>
      <c r="E256" s="39">
        <v>1</v>
      </c>
    </row>
    <row r="257" spans="1:5">
      <c r="A257" s="39" t="s">
        <v>4579</v>
      </c>
      <c r="B257" s="39" t="s">
        <v>4889</v>
      </c>
      <c r="C257" s="39" t="s">
        <v>4890</v>
      </c>
      <c r="D257" s="39" t="s">
        <v>7</v>
      </c>
      <c r="E257" s="39">
        <v>1</v>
      </c>
    </row>
    <row r="258" spans="1:5">
      <c r="A258" s="39" t="s">
        <v>4579</v>
      </c>
      <c r="B258" s="39" t="s">
        <v>4891</v>
      </c>
      <c r="C258" s="39" t="s">
        <v>4892</v>
      </c>
      <c r="D258" s="39" t="s">
        <v>7</v>
      </c>
      <c r="E258" s="39">
        <v>1</v>
      </c>
    </row>
    <row r="259" spans="1:5">
      <c r="A259" s="39" t="s">
        <v>4579</v>
      </c>
      <c r="B259" s="39" t="s">
        <v>4893</v>
      </c>
      <c r="C259" s="39" t="s">
        <v>4894</v>
      </c>
      <c r="D259" s="39" t="s">
        <v>7</v>
      </c>
      <c r="E259" s="39">
        <v>1</v>
      </c>
    </row>
    <row r="260" spans="1:5">
      <c r="A260" s="39" t="s">
        <v>4579</v>
      </c>
      <c r="B260" s="39" t="s">
        <v>4895</v>
      </c>
      <c r="C260" s="39" t="s">
        <v>4896</v>
      </c>
      <c r="D260" s="39" t="s">
        <v>7</v>
      </c>
      <c r="E260" s="39">
        <v>1</v>
      </c>
    </row>
    <row r="261" spans="1:5">
      <c r="A261" s="39" t="s">
        <v>4579</v>
      </c>
      <c r="B261" s="39" t="s">
        <v>4897</v>
      </c>
      <c r="C261" s="39" t="s">
        <v>4898</v>
      </c>
      <c r="D261" s="39" t="s">
        <v>7</v>
      </c>
      <c r="E261" s="39">
        <v>1</v>
      </c>
    </row>
    <row r="262" spans="1:5">
      <c r="A262" s="39" t="s">
        <v>4579</v>
      </c>
      <c r="B262" s="39" t="s">
        <v>4899</v>
      </c>
      <c r="C262" s="39" t="s">
        <v>4900</v>
      </c>
      <c r="D262" s="39" t="s">
        <v>7</v>
      </c>
      <c r="E262" s="39">
        <v>1</v>
      </c>
    </row>
    <row r="263" spans="1:5">
      <c r="A263" s="39" t="s">
        <v>4579</v>
      </c>
      <c r="B263" s="39" t="s">
        <v>4901</v>
      </c>
      <c r="C263" s="39" t="s">
        <v>4900</v>
      </c>
      <c r="D263" s="39" t="s">
        <v>7</v>
      </c>
      <c r="E263" s="39">
        <v>1</v>
      </c>
    </row>
    <row r="264" spans="1:5">
      <c r="A264" s="39" t="s">
        <v>4579</v>
      </c>
      <c r="B264" s="39" t="s">
        <v>4902</v>
      </c>
      <c r="C264" s="39" t="s">
        <v>4900</v>
      </c>
      <c r="D264" s="39" t="s">
        <v>7</v>
      </c>
      <c r="E264" s="39">
        <v>1</v>
      </c>
    </row>
    <row r="265" spans="1:5">
      <c r="A265" s="39" t="s">
        <v>4579</v>
      </c>
      <c r="B265" s="39" t="s">
        <v>4903</v>
      </c>
      <c r="C265" s="39" t="s">
        <v>4900</v>
      </c>
      <c r="D265" s="39" t="s">
        <v>7</v>
      </c>
      <c r="E265" s="39">
        <v>1</v>
      </c>
    </row>
    <row r="266" spans="1:5">
      <c r="A266" s="39" t="s">
        <v>4579</v>
      </c>
      <c r="B266" s="39" t="s">
        <v>4904</v>
      </c>
      <c r="C266" s="39" t="s">
        <v>4900</v>
      </c>
      <c r="D266" s="39" t="s">
        <v>7</v>
      </c>
      <c r="E266" s="39">
        <v>1</v>
      </c>
    </row>
    <row r="267" spans="1:5">
      <c r="A267" s="39" t="s">
        <v>4579</v>
      </c>
      <c r="B267" s="39" t="s">
        <v>4905</v>
      </c>
      <c r="C267" s="39" t="s">
        <v>4900</v>
      </c>
      <c r="D267" s="39" t="s">
        <v>7</v>
      </c>
      <c r="E267" s="39">
        <v>1</v>
      </c>
    </row>
    <row r="268" spans="1:5">
      <c r="A268" s="39" t="s">
        <v>4579</v>
      </c>
      <c r="B268" s="39" t="s">
        <v>4906</v>
      </c>
      <c r="C268" s="39" t="s">
        <v>4907</v>
      </c>
      <c r="D268" s="39" t="s">
        <v>7</v>
      </c>
      <c r="E268" s="39">
        <v>1</v>
      </c>
    </row>
    <row r="269" spans="1:5">
      <c r="A269" s="39" t="s">
        <v>4579</v>
      </c>
      <c r="B269" s="39" t="s">
        <v>4908</v>
      </c>
      <c r="C269" s="39" t="s">
        <v>4909</v>
      </c>
      <c r="D269" s="39" t="s">
        <v>7</v>
      </c>
      <c r="E269" s="39">
        <v>1</v>
      </c>
    </row>
    <row r="270" spans="1:5">
      <c r="A270" s="39" t="s">
        <v>4579</v>
      </c>
      <c r="B270" s="39" t="s">
        <v>4910</v>
      </c>
      <c r="C270" s="39" t="s">
        <v>4911</v>
      </c>
      <c r="D270" s="39" t="s">
        <v>7</v>
      </c>
      <c r="E270" s="39">
        <v>1</v>
      </c>
    </row>
    <row r="271" spans="1:5">
      <c r="A271" s="39" t="s">
        <v>4579</v>
      </c>
      <c r="B271" s="39" t="s">
        <v>4912</v>
      </c>
      <c r="C271" s="39" t="s">
        <v>4913</v>
      </c>
      <c r="D271" s="39" t="s">
        <v>7</v>
      </c>
      <c r="E271" s="39">
        <v>1</v>
      </c>
    </row>
    <row r="272" spans="1:5">
      <c r="A272" s="39" t="s">
        <v>4579</v>
      </c>
      <c r="B272" s="39" t="s">
        <v>4914</v>
      </c>
      <c r="C272" s="39" t="s">
        <v>2534</v>
      </c>
      <c r="D272" s="39" t="s">
        <v>7</v>
      </c>
      <c r="E272" s="39">
        <v>1</v>
      </c>
    </row>
    <row r="273" spans="1:5">
      <c r="A273" s="39" t="s">
        <v>4579</v>
      </c>
      <c r="B273" s="39" t="s">
        <v>4915</v>
      </c>
      <c r="C273" s="39" t="s">
        <v>2478</v>
      </c>
      <c r="D273" s="39" t="s">
        <v>7</v>
      </c>
      <c r="E273" s="39">
        <v>1</v>
      </c>
    </row>
    <row r="274" spans="1:5">
      <c r="A274" s="39" t="s">
        <v>4579</v>
      </c>
      <c r="B274" s="39" t="s">
        <v>4916</v>
      </c>
      <c r="C274" s="39" t="s">
        <v>4917</v>
      </c>
      <c r="D274" s="39" t="s">
        <v>7</v>
      </c>
      <c r="E274" s="39">
        <v>1</v>
      </c>
    </row>
    <row r="275" spans="1:5">
      <c r="A275" s="39" t="s">
        <v>4579</v>
      </c>
      <c r="B275" s="39" t="s">
        <v>4918</v>
      </c>
      <c r="C275" s="39" t="s">
        <v>4917</v>
      </c>
      <c r="D275" s="39" t="s">
        <v>7</v>
      </c>
      <c r="E275" s="39">
        <v>1</v>
      </c>
    </row>
    <row r="276" spans="1:5">
      <c r="A276" s="39" t="s">
        <v>4579</v>
      </c>
      <c r="B276" s="39" t="s">
        <v>4919</v>
      </c>
      <c r="C276" s="39" t="s">
        <v>96</v>
      </c>
      <c r="D276" s="39" t="s">
        <v>7</v>
      </c>
      <c r="E276" s="39">
        <v>1</v>
      </c>
    </row>
    <row r="277" spans="1:5">
      <c r="A277" s="39" t="s">
        <v>4579</v>
      </c>
      <c r="B277" s="39" t="s">
        <v>4920</v>
      </c>
      <c r="C277" s="39" t="s">
        <v>4921</v>
      </c>
      <c r="D277" s="39" t="s">
        <v>7</v>
      </c>
      <c r="E277" s="39">
        <v>1</v>
      </c>
    </row>
    <row r="278" spans="1:5">
      <c r="A278" s="39" t="s">
        <v>4579</v>
      </c>
      <c r="B278" s="39" t="s">
        <v>4922</v>
      </c>
      <c r="C278" s="39" t="s">
        <v>4923</v>
      </c>
      <c r="D278" s="39" t="s">
        <v>7</v>
      </c>
      <c r="E278" s="39">
        <v>1</v>
      </c>
    </row>
    <row r="279" spans="1:5">
      <c r="A279" s="39" t="s">
        <v>4579</v>
      </c>
      <c r="B279" s="39" t="s">
        <v>4924</v>
      </c>
      <c r="C279" s="39" t="s">
        <v>903</v>
      </c>
      <c r="D279" s="39" t="s">
        <v>7</v>
      </c>
      <c r="E279" s="39">
        <v>1</v>
      </c>
    </row>
    <row r="280" spans="1:5">
      <c r="A280" s="39" t="s">
        <v>4579</v>
      </c>
      <c r="B280" s="39" t="s">
        <v>4925</v>
      </c>
      <c r="C280" s="39" t="s">
        <v>903</v>
      </c>
      <c r="D280" s="39" t="s">
        <v>7</v>
      </c>
      <c r="E280" s="39">
        <v>1</v>
      </c>
    </row>
    <row r="281" spans="1:5">
      <c r="A281" s="39" t="s">
        <v>4579</v>
      </c>
      <c r="B281" s="39" t="s">
        <v>4926</v>
      </c>
      <c r="C281" s="39" t="s">
        <v>903</v>
      </c>
      <c r="D281" s="39" t="s">
        <v>7</v>
      </c>
      <c r="E281" s="39">
        <v>1</v>
      </c>
    </row>
    <row r="282" spans="1:5">
      <c r="A282" s="39" t="s">
        <v>4579</v>
      </c>
      <c r="B282" s="39" t="s">
        <v>4927</v>
      </c>
      <c r="C282" s="39" t="s">
        <v>95</v>
      </c>
      <c r="D282" s="39" t="s">
        <v>7</v>
      </c>
      <c r="E282" s="39">
        <v>1</v>
      </c>
    </row>
    <row r="283" spans="1:5">
      <c r="A283" s="39" t="s">
        <v>4579</v>
      </c>
      <c r="B283" s="39" t="s">
        <v>4928</v>
      </c>
      <c r="C283" s="39" t="s">
        <v>95</v>
      </c>
      <c r="D283" s="39" t="s">
        <v>7</v>
      </c>
      <c r="E283" s="39">
        <v>1</v>
      </c>
    </row>
    <row r="284" spans="1:5">
      <c r="A284" s="39" t="s">
        <v>4579</v>
      </c>
      <c r="B284" s="39" t="s">
        <v>4929</v>
      </c>
      <c r="C284" s="39" t="s">
        <v>177</v>
      </c>
      <c r="D284" s="39" t="s">
        <v>7</v>
      </c>
      <c r="E284" s="39">
        <v>1</v>
      </c>
    </row>
    <row r="285" spans="1:5">
      <c r="A285" s="39" t="s">
        <v>4579</v>
      </c>
      <c r="B285" s="39" t="s">
        <v>4930</v>
      </c>
      <c r="C285" s="39" t="s">
        <v>4931</v>
      </c>
      <c r="D285" s="39" t="s">
        <v>7</v>
      </c>
      <c r="E285" s="39">
        <v>1</v>
      </c>
    </row>
    <row r="286" spans="1:5">
      <c r="A286" s="39" t="s">
        <v>4579</v>
      </c>
      <c r="B286" s="39" t="s">
        <v>4932</v>
      </c>
      <c r="C286" s="39" t="s">
        <v>802</v>
      </c>
      <c r="D286" s="39" t="s">
        <v>7</v>
      </c>
      <c r="E286" s="39">
        <v>1</v>
      </c>
    </row>
    <row r="287" spans="1:5">
      <c r="A287" s="39" t="s">
        <v>4579</v>
      </c>
      <c r="B287" s="39" t="s">
        <v>4933</v>
      </c>
      <c r="C287" s="39" t="s">
        <v>802</v>
      </c>
      <c r="D287" s="39" t="s">
        <v>7</v>
      </c>
      <c r="E287" s="39">
        <v>1</v>
      </c>
    </row>
    <row r="288" spans="1:5">
      <c r="A288" s="39" t="s">
        <v>4579</v>
      </c>
      <c r="B288" s="39" t="s">
        <v>4934</v>
      </c>
      <c r="C288" s="39" t="s">
        <v>4935</v>
      </c>
      <c r="D288" s="39" t="s">
        <v>7</v>
      </c>
      <c r="E288" s="39">
        <v>1</v>
      </c>
    </row>
    <row r="289" spans="1:5">
      <c r="A289" s="39" t="s">
        <v>4579</v>
      </c>
      <c r="B289" s="39" t="s">
        <v>4936</v>
      </c>
      <c r="C289" s="39" t="s">
        <v>4937</v>
      </c>
      <c r="D289" s="39" t="s">
        <v>7</v>
      </c>
      <c r="E289" s="39">
        <v>1</v>
      </c>
    </row>
    <row r="290" spans="1:5">
      <c r="A290" s="39" t="s">
        <v>4579</v>
      </c>
      <c r="B290" s="39" t="s">
        <v>4938</v>
      </c>
      <c r="C290" s="39" t="s">
        <v>4939</v>
      </c>
      <c r="D290" s="39" t="s">
        <v>7</v>
      </c>
      <c r="E290" s="39">
        <v>1</v>
      </c>
    </row>
    <row r="291" spans="1:5">
      <c r="A291" s="39" t="s">
        <v>4579</v>
      </c>
      <c r="B291" s="39" t="s">
        <v>4940</v>
      </c>
      <c r="C291" s="39" t="s">
        <v>4941</v>
      </c>
      <c r="D291" s="39" t="s">
        <v>7</v>
      </c>
      <c r="E291" s="39">
        <v>1</v>
      </c>
    </row>
    <row r="292" spans="1:5">
      <c r="A292" s="39" t="s">
        <v>4579</v>
      </c>
      <c r="B292" s="39" t="s">
        <v>4942</v>
      </c>
      <c r="C292" s="39" t="s">
        <v>4943</v>
      </c>
      <c r="D292" s="39" t="s">
        <v>7</v>
      </c>
      <c r="E292" s="39">
        <v>1</v>
      </c>
    </row>
    <row r="293" spans="1:5">
      <c r="A293" s="39" t="s">
        <v>4579</v>
      </c>
      <c r="B293" s="39" t="s">
        <v>4944</v>
      </c>
      <c r="C293" s="39" t="s">
        <v>4945</v>
      </c>
      <c r="D293" s="39" t="s">
        <v>7</v>
      </c>
      <c r="E293" s="39">
        <v>1</v>
      </c>
    </row>
    <row r="294" spans="1:5">
      <c r="A294" s="39" t="s">
        <v>4579</v>
      </c>
      <c r="B294" s="39" t="s">
        <v>4946</v>
      </c>
      <c r="C294" s="39" t="s">
        <v>4947</v>
      </c>
      <c r="D294" s="39" t="s">
        <v>7</v>
      </c>
      <c r="E294" s="39">
        <v>1</v>
      </c>
    </row>
    <row r="295" spans="1:5">
      <c r="A295" s="39" t="s">
        <v>4579</v>
      </c>
      <c r="B295" s="39" t="s">
        <v>4948</v>
      </c>
      <c r="C295" s="39" t="s">
        <v>3574</v>
      </c>
      <c r="D295" s="39" t="s">
        <v>7</v>
      </c>
      <c r="E295" s="39">
        <v>1</v>
      </c>
    </row>
    <row r="296" spans="1:5">
      <c r="A296" s="39" t="s">
        <v>4579</v>
      </c>
      <c r="B296" s="39" t="s">
        <v>4949</v>
      </c>
      <c r="C296" s="39" t="s">
        <v>4950</v>
      </c>
      <c r="D296" s="39" t="s">
        <v>7</v>
      </c>
      <c r="E296" s="39">
        <v>1</v>
      </c>
    </row>
    <row r="297" spans="1:5">
      <c r="A297" s="39" t="s">
        <v>4579</v>
      </c>
      <c r="B297" s="39" t="s">
        <v>4951</v>
      </c>
      <c r="C297" s="39" t="s">
        <v>96</v>
      </c>
      <c r="D297" s="39" t="s">
        <v>7</v>
      </c>
      <c r="E297" s="39">
        <v>1</v>
      </c>
    </row>
    <row r="298" spans="1:5">
      <c r="A298" s="39" t="s">
        <v>4579</v>
      </c>
      <c r="B298" s="39" t="s">
        <v>4952</v>
      </c>
      <c r="C298" s="39" t="s">
        <v>4953</v>
      </c>
      <c r="D298" s="39" t="s">
        <v>7</v>
      </c>
      <c r="E298" s="39">
        <v>1</v>
      </c>
    </row>
    <row r="299" spans="1:5">
      <c r="A299" s="39" t="s">
        <v>4579</v>
      </c>
      <c r="B299" s="39" t="s">
        <v>4954</v>
      </c>
      <c r="C299" s="39" t="s">
        <v>4955</v>
      </c>
      <c r="D299" s="39" t="s">
        <v>7</v>
      </c>
      <c r="E299" s="39">
        <v>1</v>
      </c>
    </row>
    <row r="300" spans="1:5">
      <c r="A300" s="39" t="s">
        <v>4579</v>
      </c>
      <c r="B300" s="39" t="s">
        <v>4956</v>
      </c>
      <c r="C300" s="39" t="s">
        <v>2478</v>
      </c>
      <c r="D300" s="39" t="s">
        <v>7</v>
      </c>
      <c r="E300" s="39">
        <v>1</v>
      </c>
    </row>
    <row r="301" spans="1:5">
      <c r="A301" s="39" t="s">
        <v>4579</v>
      </c>
      <c r="B301" s="39" t="s">
        <v>4957</v>
      </c>
      <c r="C301" s="39" t="s">
        <v>4958</v>
      </c>
      <c r="D301" s="39" t="s">
        <v>7</v>
      </c>
      <c r="E301" s="39">
        <v>1</v>
      </c>
    </row>
    <row r="302" spans="1:5">
      <c r="A302" s="39" t="s">
        <v>4579</v>
      </c>
      <c r="B302" s="39" t="s">
        <v>4959</v>
      </c>
      <c r="C302" s="39" t="s">
        <v>4524</v>
      </c>
      <c r="D302" s="39" t="s">
        <v>7</v>
      </c>
      <c r="E302" s="39">
        <v>1</v>
      </c>
    </row>
    <row r="303" spans="1:5">
      <c r="A303" s="39" t="s">
        <v>4579</v>
      </c>
      <c r="B303" s="39" t="s">
        <v>4960</v>
      </c>
      <c r="C303" s="39" t="s">
        <v>4961</v>
      </c>
      <c r="D303" s="39" t="s">
        <v>7</v>
      </c>
      <c r="E303" s="39">
        <v>1</v>
      </c>
    </row>
    <row r="304" spans="1:5">
      <c r="A304" s="39" t="s">
        <v>4579</v>
      </c>
      <c r="B304" s="39" t="s">
        <v>4962</v>
      </c>
      <c r="C304" s="39" t="s">
        <v>4963</v>
      </c>
      <c r="D304" s="39" t="s">
        <v>7</v>
      </c>
      <c r="E304" s="39">
        <v>1</v>
      </c>
    </row>
    <row r="305" spans="1:5">
      <c r="A305" s="39" t="s">
        <v>4579</v>
      </c>
      <c r="B305" s="39" t="s">
        <v>4964</v>
      </c>
      <c r="C305" s="39" t="s">
        <v>4963</v>
      </c>
      <c r="D305" s="39" t="s">
        <v>7</v>
      </c>
      <c r="E305" s="39">
        <v>1</v>
      </c>
    </row>
    <row r="306" spans="1:5">
      <c r="A306" s="39" t="s">
        <v>4579</v>
      </c>
      <c r="B306" s="39" t="s">
        <v>4965</v>
      </c>
      <c r="C306" s="39" t="s">
        <v>4963</v>
      </c>
      <c r="D306" s="39" t="s">
        <v>7</v>
      </c>
      <c r="E306" s="39">
        <v>1</v>
      </c>
    </row>
    <row r="307" spans="1:5">
      <c r="A307" s="39" t="s">
        <v>4579</v>
      </c>
      <c r="B307" s="39" t="s">
        <v>4966</v>
      </c>
      <c r="C307" s="39" t="s">
        <v>4963</v>
      </c>
      <c r="D307" s="39" t="s">
        <v>7</v>
      </c>
      <c r="E307" s="39">
        <v>1</v>
      </c>
    </row>
    <row r="308" spans="1:5">
      <c r="A308" s="39" t="s">
        <v>4579</v>
      </c>
      <c r="B308" s="39" t="s">
        <v>4967</v>
      </c>
      <c r="C308" s="39" t="s">
        <v>96</v>
      </c>
      <c r="D308" s="39" t="s">
        <v>7</v>
      </c>
      <c r="E308" s="39">
        <v>1</v>
      </c>
    </row>
    <row r="309" spans="1:5">
      <c r="A309" s="39" t="s">
        <v>4579</v>
      </c>
      <c r="B309" s="39" t="s">
        <v>4968</v>
      </c>
      <c r="C309" s="39" t="s">
        <v>4692</v>
      </c>
      <c r="D309" s="39" t="s">
        <v>7</v>
      </c>
      <c r="E309" s="39">
        <v>1</v>
      </c>
    </row>
    <row r="310" spans="1:5">
      <c r="A310" s="39" t="s">
        <v>4579</v>
      </c>
      <c r="B310" s="39" t="s">
        <v>4969</v>
      </c>
      <c r="C310" s="39" t="s">
        <v>1853</v>
      </c>
      <c r="D310" s="39" t="s">
        <v>7</v>
      </c>
      <c r="E310" s="39">
        <v>1</v>
      </c>
    </row>
    <row r="311" spans="1:5">
      <c r="A311" s="39" t="s">
        <v>4579</v>
      </c>
      <c r="B311" s="39" t="s">
        <v>4970</v>
      </c>
      <c r="C311" s="39" t="s">
        <v>96</v>
      </c>
      <c r="D311" s="39" t="s">
        <v>7</v>
      </c>
      <c r="E311" s="39">
        <v>1</v>
      </c>
    </row>
    <row r="312" spans="1:5">
      <c r="A312" s="39" t="s">
        <v>4579</v>
      </c>
      <c r="B312" s="39" t="s">
        <v>4971</v>
      </c>
      <c r="C312" s="39" t="s">
        <v>96</v>
      </c>
      <c r="D312" s="39" t="s">
        <v>7</v>
      </c>
      <c r="E312" s="39">
        <v>1</v>
      </c>
    </row>
    <row r="313" spans="1:5">
      <c r="A313" s="39" t="s">
        <v>4579</v>
      </c>
      <c r="B313" s="39" t="s">
        <v>4972</v>
      </c>
      <c r="C313" s="39" t="s">
        <v>96</v>
      </c>
      <c r="D313" s="39" t="s">
        <v>7</v>
      </c>
      <c r="E313" s="39">
        <v>1</v>
      </c>
    </row>
    <row r="314" spans="1:5">
      <c r="A314" s="39" t="s">
        <v>4579</v>
      </c>
      <c r="B314" s="39" t="s">
        <v>4973</v>
      </c>
      <c r="C314" s="39" t="s">
        <v>96</v>
      </c>
      <c r="D314" s="39" t="s">
        <v>7</v>
      </c>
      <c r="E314" s="39">
        <v>1</v>
      </c>
    </row>
    <row r="315" spans="1:5">
      <c r="A315" s="39" t="s">
        <v>4579</v>
      </c>
      <c r="B315" s="2" t="s">
        <v>4974</v>
      </c>
      <c r="C315" s="2" t="s">
        <v>95</v>
      </c>
      <c r="D315" s="3" t="s">
        <v>7</v>
      </c>
      <c r="E315" s="39">
        <v>1</v>
      </c>
    </row>
    <row r="316" spans="1:5">
      <c r="A316" s="39" t="s">
        <v>4579</v>
      </c>
      <c r="B316" s="2" t="s">
        <v>4975</v>
      </c>
      <c r="C316" s="2" t="s">
        <v>95</v>
      </c>
      <c r="D316" s="3" t="s">
        <v>7</v>
      </c>
      <c r="E316" s="39">
        <v>1</v>
      </c>
    </row>
    <row r="317" spans="1:5">
      <c r="A317" s="39" t="s">
        <v>4579</v>
      </c>
      <c r="B317" s="2" t="s">
        <v>4976</v>
      </c>
      <c r="C317" s="2" t="s">
        <v>95</v>
      </c>
      <c r="D317" s="3" t="s">
        <v>7</v>
      </c>
      <c r="E317" s="39">
        <v>1</v>
      </c>
    </row>
    <row r="318" spans="1:5">
      <c r="A318" s="39" t="s">
        <v>4579</v>
      </c>
      <c r="B318" s="2" t="s">
        <v>4977</v>
      </c>
      <c r="C318" s="2" t="s">
        <v>94</v>
      </c>
      <c r="D318" s="3" t="s">
        <v>7</v>
      </c>
      <c r="E318" s="39">
        <v>1</v>
      </c>
    </row>
    <row r="319" spans="1:5">
      <c r="A319" s="39" t="s">
        <v>4579</v>
      </c>
      <c r="B319" s="2" t="s">
        <v>4978</v>
      </c>
      <c r="C319" s="2" t="s">
        <v>4979</v>
      </c>
      <c r="D319" s="3" t="s">
        <v>7</v>
      </c>
      <c r="E319" s="39">
        <v>1</v>
      </c>
    </row>
    <row r="320" spans="1:5">
      <c r="A320" s="39" t="s">
        <v>4579</v>
      </c>
      <c r="B320" s="2" t="s">
        <v>4980</v>
      </c>
      <c r="C320" s="2" t="s">
        <v>4981</v>
      </c>
      <c r="D320" s="3" t="s">
        <v>7</v>
      </c>
      <c r="E320" s="39">
        <v>1</v>
      </c>
    </row>
    <row r="321" spans="1:5">
      <c r="A321" s="39" t="s">
        <v>4579</v>
      </c>
      <c r="B321" s="2" t="s">
        <v>4982</v>
      </c>
      <c r="C321" s="2" t="s">
        <v>120</v>
      </c>
      <c r="D321" s="3" t="s">
        <v>7</v>
      </c>
      <c r="E321" s="39">
        <v>1</v>
      </c>
    </row>
    <row r="322" spans="1:5">
      <c r="A322" s="39" t="s">
        <v>4579</v>
      </c>
      <c r="B322" s="2" t="s">
        <v>4983</v>
      </c>
      <c r="C322" s="2" t="s">
        <v>4984</v>
      </c>
      <c r="D322" s="3" t="s">
        <v>7</v>
      </c>
      <c r="E322" s="39">
        <v>1</v>
      </c>
    </row>
    <row r="323" spans="1:5">
      <c r="A323" s="39" t="s">
        <v>4579</v>
      </c>
      <c r="B323" s="2" t="s">
        <v>4985</v>
      </c>
      <c r="C323" s="2" t="s">
        <v>811</v>
      </c>
      <c r="D323" s="3" t="s">
        <v>7</v>
      </c>
      <c r="E323" s="39">
        <v>1</v>
      </c>
    </row>
    <row r="324" spans="1:5">
      <c r="A324" s="39" t="s">
        <v>4579</v>
      </c>
      <c r="B324" s="2" t="s">
        <v>4986</v>
      </c>
      <c r="C324" s="2" t="s">
        <v>4987</v>
      </c>
      <c r="D324" s="3" t="s">
        <v>7</v>
      </c>
      <c r="E324" s="39">
        <v>1</v>
      </c>
    </row>
    <row r="325" spans="1:5">
      <c r="A325" s="39" t="s">
        <v>4579</v>
      </c>
      <c r="B325" s="2" t="s">
        <v>4988</v>
      </c>
      <c r="C325" s="2" t="s">
        <v>1140</v>
      </c>
      <c r="D325" s="3" t="s">
        <v>7</v>
      </c>
      <c r="E325" s="39">
        <v>1</v>
      </c>
    </row>
    <row r="326" spans="1:5">
      <c r="A326" s="39" t="s">
        <v>4579</v>
      </c>
      <c r="B326" s="2" t="s">
        <v>4989</v>
      </c>
      <c r="C326" s="2" t="s">
        <v>1140</v>
      </c>
      <c r="D326" s="3" t="s">
        <v>7</v>
      </c>
      <c r="E326" s="39">
        <v>1</v>
      </c>
    </row>
    <row r="327" spans="1:5">
      <c r="A327" s="39" t="s">
        <v>4579</v>
      </c>
      <c r="B327" s="2" t="s">
        <v>4990</v>
      </c>
      <c r="C327" s="2" t="s">
        <v>1140</v>
      </c>
      <c r="D327" s="3" t="s">
        <v>7</v>
      </c>
      <c r="E327" s="39">
        <v>1</v>
      </c>
    </row>
    <row r="328" spans="1:5">
      <c r="A328" s="39" t="s">
        <v>4579</v>
      </c>
      <c r="B328" s="2" t="s">
        <v>4991</v>
      </c>
      <c r="C328" s="2" t="s">
        <v>1140</v>
      </c>
      <c r="D328" s="3" t="s">
        <v>7</v>
      </c>
      <c r="E328" s="39">
        <v>1</v>
      </c>
    </row>
    <row r="329" spans="1:5">
      <c r="A329" s="39" t="s">
        <v>4579</v>
      </c>
      <c r="B329" s="2" t="s">
        <v>4992</v>
      </c>
      <c r="C329" s="2" t="s">
        <v>1140</v>
      </c>
      <c r="D329" s="3" t="s">
        <v>7</v>
      </c>
      <c r="E329" s="39">
        <v>1</v>
      </c>
    </row>
    <row r="330" spans="1:5">
      <c r="A330" s="39" t="s">
        <v>4579</v>
      </c>
      <c r="B330" s="2" t="s">
        <v>4993</v>
      </c>
      <c r="C330" s="2" t="s">
        <v>1140</v>
      </c>
      <c r="D330" s="3" t="s">
        <v>7</v>
      </c>
      <c r="E330" s="39">
        <v>1</v>
      </c>
    </row>
    <row r="331" spans="1:5">
      <c r="A331" s="39" t="s">
        <v>4579</v>
      </c>
      <c r="B331" s="2" t="s">
        <v>4994</v>
      </c>
      <c r="C331" s="2" t="s">
        <v>4995</v>
      </c>
      <c r="D331" s="3" t="s">
        <v>7</v>
      </c>
      <c r="E331" s="39">
        <v>1</v>
      </c>
    </row>
    <row r="332" spans="1:5">
      <c r="A332" s="39" t="s">
        <v>4579</v>
      </c>
      <c r="B332" s="2" t="s">
        <v>4996</v>
      </c>
      <c r="C332" s="2" t="s">
        <v>2203</v>
      </c>
      <c r="D332" s="3" t="s">
        <v>7</v>
      </c>
      <c r="E332" s="39">
        <v>1</v>
      </c>
    </row>
    <row r="333" spans="1:5">
      <c r="A333" s="39" t="s">
        <v>4579</v>
      </c>
      <c r="B333" s="2" t="s">
        <v>4997</v>
      </c>
      <c r="C333" s="2" t="s">
        <v>2203</v>
      </c>
      <c r="D333" s="3" t="s">
        <v>7</v>
      </c>
      <c r="E333" s="39">
        <v>1</v>
      </c>
    </row>
    <row r="334" spans="1:5">
      <c r="A334" s="39" t="s">
        <v>4579</v>
      </c>
      <c r="B334" s="2" t="s">
        <v>4998</v>
      </c>
      <c r="C334" s="2" t="s">
        <v>4955</v>
      </c>
      <c r="D334" s="3" t="s">
        <v>7</v>
      </c>
      <c r="E334" s="39">
        <v>1</v>
      </c>
    </row>
    <row r="335" spans="1:5">
      <c r="A335" s="39" t="s">
        <v>4579</v>
      </c>
      <c r="B335" s="2" t="s">
        <v>4999</v>
      </c>
      <c r="C335" s="2" t="s">
        <v>4651</v>
      </c>
      <c r="D335" s="3" t="s">
        <v>7</v>
      </c>
      <c r="E335" s="39">
        <v>1</v>
      </c>
    </row>
    <row r="336" spans="1:5">
      <c r="A336" s="39" t="s">
        <v>4579</v>
      </c>
      <c r="B336" s="2" t="s">
        <v>5000</v>
      </c>
      <c r="C336" s="2" t="s">
        <v>3360</v>
      </c>
      <c r="D336" s="3" t="s">
        <v>7</v>
      </c>
      <c r="E336" s="39">
        <v>1</v>
      </c>
    </row>
    <row r="337" spans="1:5">
      <c r="A337" s="39" t="s">
        <v>4579</v>
      </c>
      <c r="B337" s="2" t="s">
        <v>5001</v>
      </c>
      <c r="C337" s="2" t="s">
        <v>3360</v>
      </c>
      <c r="D337" s="3" t="s">
        <v>7</v>
      </c>
      <c r="E337" s="39">
        <v>1</v>
      </c>
    </row>
    <row r="338" spans="1:5">
      <c r="A338" s="39" t="s">
        <v>4579</v>
      </c>
      <c r="B338" s="2" t="s">
        <v>5002</v>
      </c>
      <c r="C338" s="2" t="s">
        <v>3360</v>
      </c>
      <c r="D338" s="3" t="s">
        <v>7</v>
      </c>
      <c r="E338" s="39">
        <v>1</v>
      </c>
    </row>
    <row r="339" spans="1:5">
      <c r="A339" s="39" t="s">
        <v>4579</v>
      </c>
      <c r="B339" s="2" t="s">
        <v>5003</v>
      </c>
      <c r="C339" s="2" t="s">
        <v>3360</v>
      </c>
      <c r="D339" s="3" t="s">
        <v>7</v>
      </c>
      <c r="E339" s="39">
        <v>1</v>
      </c>
    </row>
    <row r="340" spans="1:5">
      <c r="A340" s="39" t="s">
        <v>4579</v>
      </c>
      <c r="B340" s="2" t="s">
        <v>5004</v>
      </c>
      <c r="C340" s="2" t="s">
        <v>49</v>
      </c>
      <c r="D340" s="3" t="s">
        <v>7</v>
      </c>
      <c r="E340" s="39">
        <v>1</v>
      </c>
    </row>
    <row r="341" spans="1:5">
      <c r="A341" s="39" t="s">
        <v>4579</v>
      </c>
      <c r="B341" s="2" t="s">
        <v>5005</v>
      </c>
      <c r="C341" s="2" t="s">
        <v>49</v>
      </c>
      <c r="D341" s="3" t="s">
        <v>7</v>
      </c>
      <c r="E341" s="39">
        <v>1</v>
      </c>
    </row>
    <row r="342" spans="1:5">
      <c r="A342" s="39" t="s">
        <v>4579</v>
      </c>
      <c r="B342" s="2" t="s">
        <v>5006</v>
      </c>
      <c r="C342" s="2" t="s">
        <v>49</v>
      </c>
      <c r="D342" s="3" t="s">
        <v>7</v>
      </c>
      <c r="E342" s="39">
        <v>1</v>
      </c>
    </row>
    <row r="343" spans="1:5">
      <c r="A343" s="39" t="s">
        <v>4579</v>
      </c>
      <c r="B343" s="2" t="s">
        <v>5007</v>
      </c>
      <c r="C343" s="2" t="s">
        <v>49</v>
      </c>
      <c r="D343" s="3" t="s">
        <v>7</v>
      </c>
      <c r="E343" s="39">
        <v>1</v>
      </c>
    </row>
    <row r="344" spans="1:5">
      <c r="A344" s="39" t="s">
        <v>4579</v>
      </c>
      <c r="B344" s="2" t="s">
        <v>5008</v>
      </c>
      <c r="C344" s="2" t="s">
        <v>49</v>
      </c>
      <c r="D344" s="3" t="s">
        <v>7</v>
      </c>
      <c r="E344" s="39">
        <v>1</v>
      </c>
    </row>
    <row r="345" spans="1:5">
      <c r="A345" s="39" t="s">
        <v>4579</v>
      </c>
      <c r="B345" s="2" t="s">
        <v>5009</v>
      </c>
      <c r="C345" s="2" t="s">
        <v>49</v>
      </c>
      <c r="D345" s="3" t="s">
        <v>7</v>
      </c>
      <c r="E345" s="39">
        <v>1</v>
      </c>
    </row>
    <row r="346" spans="1:5">
      <c r="A346" s="39" t="s">
        <v>4579</v>
      </c>
      <c r="B346" s="2" t="s">
        <v>5010</v>
      </c>
      <c r="C346" s="2" t="s">
        <v>49</v>
      </c>
      <c r="D346" s="3" t="s">
        <v>7</v>
      </c>
      <c r="E346" s="39">
        <v>1</v>
      </c>
    </row>
    <row r="347" spans="1:5">
      <c r="A347" s="39" t="s">
        <v>4579</v>
      </c>
      <c r="B347" s="2" t="s">
        <v>5011</v>
      </c>
      <c r="C347" s="2" t="s">
        <v>49</v>
      </c>
      <c r="D347" s="3" t="s">
        <v>7</v>
      </c>
      <c r="E347" s="39">
        <v>1</v>
      </c>
    </row>
    <row r="348" spans="1:5">
      <c r="A348" s="39" t="s">
        <v>4579</v>
      </c>
      <c r="B348" s="2" t="s">
        <v>5012</v>
      </c>
      <c r="C348" s="2" t="s">
        <v>49</v>
      </c>
      <c r="D348" s="3" t="s">
        <v>7</v>
      </c>
      <c r="E348" s="39">
        <v>1</v>
      </c>
    </row>
    <row r="349" spans="1:5">
      <c r="A349" s="39" t="s">
        <v>4579</v>
      </c>
      <c r="B349" s="2" t="s">
        <v>5013</v>
      </c>
      <c r="C349" s="2" t="s">
        <v>49</v>
      </c>
      <c r="D349" s="3" t="s">
        <v>7</v>
      </c>
      <c r="E349" s="39">
        <v>1</v>
      </c>
    </row>
    <row r="350" spans="1:5">
      <c r="A350" s="39" t="s">
        <v>4579</v>
      </c>
      <c r="B350" s="2" t="s">
        <v>5014</v>
      </c>
      <c r="C350" s="2" t="s">
        <v>49</v>
      </c>
      <c r="D350" s="3" t="s">
        <v>7</v>
      </c>
      <c r="E350" s="39">
        <v>1</v>
      </c>
    </row>
    <row r="351" spans="1:5">
      <c r="A351" s="39" t="s">
        <v>4579</v>
      </c>
      <c r="B351" s="2" t="s">
        <v>5015</v>
      </c>
      <c r="C351" s="2" t="s">
        <v>96</v>
      </c>
      <c r="D351" s="3" t="s">
        <v>7</v>
      </c>
      <c r="E351" s="39">
        <v>1</v>
      </c>
    </row>
    <row r="352" spans="1:5">
      <c r="A352" s="39" t="s">
        <v>4579</v>
      </c>
      <c r="B352" s="2" t="s">
        <v>5016</v>
      </c>
      <c r="C352" s="2" t="s">
        <v>96</v>
      </c>
      <c r="D352" s="3" t="s">
        <v>7</v>
      </c>
      <c r="E352" s="39">
        <v>1</v>
      </c>
    </row>
    <row r="353" spans="1:5">
      <c r="A353" s="39" t="s">
        <v>4579</v>
      </c>
      <c r="B353" s="2" t="s">
        <v>5017</v>
      </c>
      <c r="C353" s="2" t="s">
        <v>96</v>
      </c>
      <c r="D353" s="3" t="s">
        <v>7</v>
      </c>
      <c r="E353" s="39">
        <v>1</v>
      </c>
    </row>
    <row r="354" spans="1:5">
      <c r="A354" s="39" t="s">
        <v>4579</v>
      </c>
      <c r="B354" s="2" t="s">
        <v>5018</v>
      </c>
      <c r="C354" s="2" t="s">
        <v>96</v>
      </c>
      <c r="D354" s="3" t="s">
        <v>7</v>
      </c>
      <c r="E354" s="39">
        <v>1</v>
      </c>
    </row>
    <row r="355" spans="1:5">
      <c r="A355" s="39" t="s">
        <v>4579</v>
      </c>
      <c r="B355" s="2" t="s">
        <v>5019</v>
      </c>
      <c r="C355" s="2" t="s">
        <v>96</v>
      </c>
      <c r="D355" s="3" t="s">
        <v>7</v>
      </c>
      <c r="E355" s="39">
        <v>1</v>
      </c>
    </row>
    <row r="356" spans="1:5">
      <c r="A356" s="39" t="s">
        <v>4579</v>
      </c>
      <c r="B356" s="2" t="s">
        <v>5020</v>
      </c>
      <c r="C356" s="2" t="s">
        <v>96</v>
      </c>
      <c r="D356" s="3" t="s">
        <v>7</v>
      </c>
      <c r="E356" s="39">
        <v>1</v>
      </c>
    </row>
    <row r="357" spans="1:5">
      <c r="A357" s="39" t="s">
        <v>4579</v>
      </c>
      <c r="B357" s="2" t="s">
        <v>5021</v>
      </c>
      <c r="C357" s="2" t="s">
        <v>96</v>
      </c>
      <c r="D357" s="3" t="s">
        <v>7</v>
      </c>
      <c r="E357" s="39">
        <v>1</v>
      </c>
    </row>
    <row r="358" spans="1:5">
      <c r="A358" s="39" t="s">
        <v>4579</v>
      </c>
      <c r="B358" s="2" t="s">
        <v>5022</v>
      </c>
      <c r="C358" s="2" t="s">
        <v>96</v>
      </c>
      <c r="D358" s="3" t="s">
        <v>7</v>
      </c>
      <c r="E358" s="39">
        <v>1</v>
      </c>
    </row>
    <row r="359" spans="1:5">
      <c r="A359" s="39" t="s">
        <v>4579</v>
      </c>
      <c r="B359" s="2" t="s">
        <v>5023</v>
      </c>
      <c r="C359" s="2" t="s">
        <v>96</v>
      </c>
      <c r="D359" s="3" t="s">
        <v>7</v>
      </c>
      <c r="E359" s="39">
        <v>1</v>
      </c>
    </row>
    <row r="360" spans="1:5">
      <c r="A360" s="39" t="s">
        <v>4579</v>
      </c>
      <c r="B360" s="2" t="s">
        <v>5024</v>
      </c>
      <c r="C360" s="2" t="s">
        <v>96</v>
      </c>
      <c r="D360" s="3" t="s">
        <v>7</v>
      </c>
      <c r="E360" s="39">
        <v>1</v>
      </c>
    </row>
    <row r="361" spans="1:5">
      <c r="A361" s="39" t="s">
        <v>4579</v>
      </c>
      <c r="B361" s="2" t="s">
        <v>5025</v>
      </c>
      <c r="C361" s="2" t="s">
        <v>96</v>
      </c>
      <c r="D361" s="3" t="s">
        <v>7</v>
      </c>
      <c r="E361" s="39">
        <v>1</v>
      </c>
    </row>
    <row r="362" spans="1:5">
      <c r="A362" s="39" t="s">
        <v>4579</v>
      </c>
      <c r="B362" s="2" t="s">
        <v>5026</v>
      </c>
      <c r="C362" s="2" t="s">
        <v>96</v>
      </c>
      <c r="D362" s="3" t="s">
        <v>7</v>
      </c>
      <c r="E362" s="39">
        <v>1</v>
      </c>
    </row>
    <row r="363" spans="1:5">
      <c r="A363" s="39" t="s">
        <v>4579</v>
      </c>
      <c r="B363" s="2" t="s">
        <v>5027</v>
      </c>
      <c r="C363" s="2" t="s">
        <v>96</v>
      </c>
      <c r="D363" s="3" t="s">
        <v>7</v>
      </c>
      <c r="E363" s="39">
        <v>1</v>
      </c>
    </row>
    <row r="364" spans="1:5">
      <c r="A364" s="39" t="s">
        <v>4579</v>
      </c>
      <c r="B364" s="2" t="s">
        <v>5028</v>
      </c>
      <c r="C364" s="2" t="s">
        <v>96</v>
      </c>
      <c r="D364" s="3" t="s">
        <v>7</v>
      </c>
      <c r="E364" s="39">
        <v>1</v>
      </c>
    </row>
    <row r="365" spans="1:5">
      <c r="A365" s="39" t="s">
        <v>4579</v>
      </c>
      <c r="B365" s="2" t="s">
        <v>5029</v>
      </c>
      <c r="C365" s="2" t="s">
        <v>96</v>
      </c>
      <c r="D365" s="3" t="s">
        <v>7</v>
      </c>
      <c r="E365" s="39">
        <v>1</v>
      </c>
    </row>
    <row r="366" spans="1:5">
      <c r="A366" s="39" t="s">
        <v>4579</v>
      </c>
      <c r="B366" s="2" t="s">
        <v>5030</v>
      </c>
      <c r="C366" s="2" t="s">
        <v>96</v>
      </c>
      <c r="D366" s="3" t="s">
        <v>7</v>
      </c>
      <c r="E366" s="39">
        <v>1</v>
      </c>
    </row>
    <row r="367" spans="1:5">
      <c r="A367" s="39" t="s">
        <v>4579</v>
      </c>
      <c r="B367" s="2" t="s">
        <v>5031</v>
      </c>
      <c r="C367" s="2" t="s">
        <v>96</v>
      </c>
      <c r="D367" s="3" t="s">
        <v>7</v>
      </c>
      <c r="E367" s="39">
        <v>1</v>
      </c>
    </row>
    <row r="368" spans="1:5">
      <c r="A368" s="39" t="s">
        <v>4579</v>
      </c>
      <c r="B368" s="2" t="s">
        <v>5032</v>
      </c>
      <c r="C368" s="2" t="s">
        <v>96</v>
      </c>
      <c r="D368" s="3" t="s">
        <v>7</v>
      </c>
      <c r="E368" s="39">
        <v>1</v>
      </c>
    </row>
    <row r="369" spans="1:5">
      <c r="A369" s="39" t="s">
        <v>4579</v>
      </c>
      <c r="B369" s="2" t="s">
        <v>5033</v>
      </c>
      <c r="C369" s="2" t="s">
        <v>96</v>
      </c>
      <c r="D369" s="3" t="s">
        <v>7</v>
      </c>
      <c r="E369" s="39">
        <v>1</v>
      </c>
    </row>
    <row r="370" spans="1:5">
      <c r="A370" s="39" t="s">
        <v>4579</v>
      </c>
      <c r="B370" s="2" t="s">
        <v>5034</v>
      </c>
      <c r="C370" s="2" t="s">
        <v>96</v>
      </c>
      <c r="D370" s="3" t="s">
        <v>7</v>
      </c>
      <c r="E370" s="39">
        <v>1</v>
      </c>
    </row>
    <row r="371" spans="1:5">
      <c r="A371" s="39" t="s">
        <v>4579</v>
      </c>
      <c r="B371" s="2" t="s">
        <v>5035</v>
      </c>
      <c r="C371" s="2" t="s">
        <v>96</v>
      </c>
      <c r="D371" s="3" t="s">
        <v>7</v>
      </c>
      <c r="E371" s="39">
        <v>1</v>
      </c>
    </row>
    <row r="372" spans="1:5">
      <c r="A372" s="39" t="s">
        <v>4579</v>
      </c>
      <c r="B372" s="2" t="s">
        <v>5036</v>
      </c>
      <c r="C372" s="2" t="s">
        <v>96</v>
      </c>
      <c r="D372" s="3" t="s">
        <v>7</v>
      </c>
      <c r="E372" s="39">
        <v>1</v>
      </c>
    </row>
    <row r="373" spans="1:5">
      <c r="A373" s="39" t="s">
        <v>4579</v>
      </c>
      <c r="B373" s="2" t="s">
        <v>5037</v>
      </c>
      <c r="C373" s="2" t="s">
        <v>96</v>
      </c>
      <c r="D373" s="3" t="s">
        <v>7</v>
      </c>
      <c r="E373" s="39">
        <v>1</v>
      </c>
    </row>
    <row r="374" spans="1:5">
      <c r="A374" s="39" t="s">
        <v>4579</v>
      </c>
      <c r="B374" s="2" t="s">
        <v>5038</v>
      </c>
      <c r="C374" s="2" t="s">
        <v>96</v>
      </c>
      <c r="D374" s="3" t="s">
        <v>7</v>
      </c>
      <c r="E374" s="39">
        <v>1</v>
      </c>
    </row>
    <row r="375" spans="1:5">
      <c r="A375" s="39" t="s">
        <v>4579</v>
      </c>
      <c r="B375" s="2" t="s">
        <v>5039</v>
      </c>
      <c r="C375" s="2" t="s">
        <v>96</v>
      </c>
      <c r="D375" s="3" t="s">
        <v>7</v>
      </c>
      <c r="E375" s="39">
        <v>1</v>
      </c>
    </row>
    <row r="376" spans="1:5">
      <c r="A376" s="39" t="s">
        <v>4579</v>
      </c>
      <c r="B376" s="2" t="s">
        <v>5040</v>
      </c>
      <c r="C376" s="2" t="s">
        <v>96</v>
      </c>
      <c r="D376" s="3" t="s">
        <v>7</v>
      </c>
      <c r="E376" s="39">
        <v>1</v>
      </c>
    </row>
    <row r="377" spans="1:5">
      <c r="A377" s="39" t="s">
        <v>4579</v>
      </c>
      <c r="B377" s="2" t="s">
        <v>5041</v>
      </c>
      <c r="C377" s="2" t="s">
        <v>2478</v>
      </c>
      <c r="D377" s="3" t="s">
        <v>7</v>
      </c>
      <c r="E377" s="39">
        <v>1</v>
      </c>
    </row>
    <row r="378" spans="1:5">
      <c r="A378" s="39" t="s">
        <v>4579</v>
      </c>
      <c r="B378" s="2" t="s">
        <v>5042</v>
      </c>
      <c r="C378" s="2" t="s">
        <v>2478</v>
      </c>
      <c r="D378" s="3" t="s">
        <v>7</v>
      </c>
      <c r="E378" s="39">
        <v>1</v>
      </c>
    </row>
    <row r="379" spans="1:5">
      <c r="A379" s="39" t="s">
        <v>4579</v>
      </c>
      <c r="B379" s="2" t="s">
        <v>5043</v>
      </c>
      <c r="C379" s="2" t="s">
        <v>2478</v>
      </c>
      <c r="D379" s="3" t="s">
        <v>7</v>
      </c>
      <c r="E379" s="39">
        <v>1</v>
      </c>
    </row>
    <row r="380" spans="1:5">
      <c r="A380" s="39" t="s">
        <v>4579</v>
      </c>
      <c r="B380" s="2" t="s">
        <v>5044</v>
      </c>
      <c r="C380" s="2" t="s">
        <v>1148</v>
      </c>
      <c r="D380" s="3" t="s">
        <v>7</v>
      </c>
      <c r="E380" s="39">
        <v>1</v>
      </c>
    </row>
    <row r="381" spans="1:5">
      <c r="A381" s="39" t="s">
        <v>4579</v>
      </c>
      <c r="B381" s="41">
        <v>1</v>
      </c>
      <c r="C381" s="3" t="s">
        <v>3535</v>
      </c>
      <c r="D381" s="3" t="s">
        <v>7</v>
      </c>
      <c r="E381" s="39">
        <v>1</v>
      </c>
    </row>
    <row r="382" spans="1:5">
      <c r="A382" s="39" t="s">
        <v>4579</v>
      </c>
      <c r="B382" s="41">
        <v>2</v>
      </c>
      <c r="C382" s="3" t="s">
        <v>3535</v>
      </c>
      <c r="D382" s="3" t="s">
        <v>7</v>
      </c>
      <c r="E382" s="39">
        <v>1</v>
      </c>
    </row>
    <row r="383" spans="1:5">
      <c r="A383" s="39" t="s">
        <v>4579</v>
      </c>
      <c r="B383" s="41">
        <v>3</v>
      </c>
      <c r="C383" s="3" t="s">
        <v>3535</v>
      </c>
      <c r="D383" s="3" t="s">
        <v>7</v>
      </c>
      <c r="E383" s="39">
        <v>1</v>
      </c>
    </row>
    <row r="384" spans="1:5">
      <c r="A384" s="39" t="s">
        <v>4579</v>
      </c>
      <c r="B384" s="41">
        <v>4</v>
      </c>
      <c r="C384" s="3" t="s">
        <v>3535</v>
      </c>
      <c r="D384" s="3" t="s">
        <v>7</v>
      </c>
      <c r="E384" s="39">
        <v>1</v>
      </c>
    </row>
    <row r="385" spans="1:5">
      <c r="A385" s="18"/>
      <c r="B385" s="18"/>
      <c r="C385" s="18"/>
      <c r="D385" s="18"/>
      <c r="E385" s="18"/>
    </row>
    <row r="386" spans="1:5">
      <c r="A386" s="18"/>
      <c r="B386" s="18"/>
      <c r="C386" s="18"/>
      <c r="D386" s="18"/>
      <c r="E386" s="18"/>
    </row>
    <row r="387" spans="1:5">
      <c r="A387" s="18"/>
      <c r="B387" s="18"/>
      <c r="C387" s="18"/>
      <c r="D387" s="18"/>
      <c r="E387" s="18"/>
    </row>
    <row r="388" spans="1:5">
      <c r="A388" s="18"/>
      <c r="B388" s="18"/>
      <c r="C388" s="18"/>
      <c r="D388" s="18"/>
      <c r="E388" s="18"/>
    </row>
    <row r="389" spans="1:5">
      <c r="A389" s="18"/>
      <c r="B389" s="18"/>
      <c r="C389" s="18"/>
      <c r="D389" s="18"/>
      <c r="E389" s="18"/>
    </row>
    <row r="390" hidden="1" spans="1:5">
      <c r="A390" s="18"/>
      <c r="B390" s="18"/>
      <c r="C390" s="18"/>
      <c r="D390" s="18"/>
      <c r="E390" s="18"/>
    </row>
    <row r="391" spans="1:5">
      <c r="A391" s="18"/>
      <c r="B391" s="18"/>
      <c r="C391" s="18"/>
      <c r="D391" s="18"/>
      <c r="E391" s="18"/>
    </row>
    <row r="392" spans="1:5">
      <c r="A392" s="18"/>
      <c r="B392" s="18"/>
      <c r="C392" s="18"/>
      <c r="D392" s="18"/>
      <c r="E392" s="18"/>
    </row>
    <row r="393" spans="1:5">
      <c r="A393" s="18"/>
      <c r="B393" s="18"/>
      <c r="C393" s="18"/>
      <c r="D393" s="18"/>
      <c r="E393" s="18"/>
    </row>
    <row r="394" spans="1:5">
      <c r="A394" s="18"/>
      <c r="B394" s="18"/>
      <c r="C394" s="18"/>
      <c r="D394" s="18"/>
      <c r="E394" s="18"/>
    </row>
    <row r="395" spans="1:5">
      <c r="A395" s="18"/>
      <c r="B395" s="18"/>
      <c r="C395" s="18"/>
      <c r="D395" s="18"/>
      <c r="E395" s="18"/>
    </row>
    <row r="396" spans="1:5">
      <c r="A396" s="18"/>
      <c r="B396" s="18"/>
      <c r="C396" s="18"/>
      <c r="D396" s="18"/>
      <c r="E396" s="18"/>
    </row>
    <row r="397" spans="1:5">
      <c r="A397" s="18"/>
      <c r="B397" s="18"/>
      <c r="C397" s="18"/>
      <c r="D397" s="18"/>
      <c r="E397" s="18"/>
    </row>
    <row r="398" spans="1:5">
      <c r="A398" s="18"/>
      <c r="B398" s="18"/>
      <c r="C398" s="18"/>
      <c r="D398" s="18"/>
      <c r="E398" s="18"/>
    </row>
    <row r="399" spans="1:5">
      <c r="A399" s="18"/>
      <c r="B399" s="18"/>
      <c r="C399" s="18"/>
      <c r="D399" s="18"/>
      <c r="E399" s="18"/>
    </row>
    <row r="400" spans="1:5">
      <c r="A400" s="18"/>
      <c r="B400" s="18"/>
      <c r="C400" s="18"/>
      <c r="D400" s="18"/>
      <c r="E400" s="18"/>
    </row>
    <row r="401" spans="1:5">
      <c r="A401" s="18"/>
      <c r="B401" s="18"/>
      <c r="C401" s="18"/>
      <c r="D401" s="18"/>
      <c r="E401" s="18"/>
    </row>
    <row r="402" hidden="1" spans="1:5">
      <c r="A402" s="18"/>
      <c r="B402" s="18"/>
      <c r="C402" s="18"/>
      <c r="D402" s="18"/>
      <c r="E402" s="18"/>
    </row>
    <row r="403" spans="1:5">
      <c r="A403" s="18"/>
      <c r="B403" s="18"/>
      <c r="C403" s="18"/>
      <c r="D403" s="18"/>
      <c r="E403" s="18"/>
    </row>
    <row r="404" spans="1:5">
      <c r="A404" s="18"/>
      <c r="B404" s="18"/>
      <c r="C404" s="18"/>
      <c r="D404" s="18"/>
      <c r="E404" s="18"/>
    </row>
    <row r="405" hidden="1" spans="1:5">
      <c r="A405" s="18"/>
      <c r="B405" s="18"/>
      <c r="C405" s="18"/>
      <c r="D405" s="18"/>
      <c r="E405" s="18"/>
    </row>
    <row r="406" spans="1:5">
      <c r="A406" s="18"/>
      <c r="B406" s="18"/>
      <c r="C406" s="18"/>
      <c r="D406" s="18"/>
      <c r="E406" s="18"/>
    </row>
    <row r="407" hidden="1" spans="1:5">
      <c r="A407" s="18"/>
      <c r="B407" s="18"/>
      <c r="C407" s="18"/>
      <c r="D407" s="18"/>
      <c r="E407" s="18"/>
    </row>
    <row r="408" spans="1:5">
      <c r="A408" s="18"/>
      <c r="B408" s="18"/>
      <c r="C408" s="18"/>
      <c r="D408" s="18"/>
      <c r="E408" s="18"/>
    </row>
    <row r="409" hidden="1" spans="1:5">
      <c r="A409" s="18"/>
      <c r="B409" s="18"/>
      <c r="C409" s="18"/>
      <c r="D409" s="18"/>
      <c r="E409" s="18"/>
    </row>
    <row r="410" spans="1:5">
      <c r="A410" s="18"/>
      <c r="B410" s="18"/>
      <c r="C410" s="18"/>
      <c r="D410" s="18"/>
      <c r="E410" s="18"/>
    </row>
    <row r="411" spans="1:5">
      <c r="A411" s="18"/>
      <c r="B411" s="18"/>
      <c r="C411" s="18"/>
      <c r="D411" s="18"/>
      <c r="E411" s="18"/>
    </row>
    <row r="412" spans="1:5">
      <c r="A412" s="18"/>
      <c r="B412" s="18"/>
      <c r="C412" s="18"/>
      <c r="D412" s="18"/>
      <c r="E412" s="18"/>
    </row>
    <row r="413" spans="1:5">
      <c r="A413" s="18"/>
      <c r="B413" s="18"/>
      <c r="C413" s="18"/>
      <c r="D413" s="18"/>
      <c r="E413" s="18"/>
    </row>
    <row r="414" spans="1:5">
      <c r="A414" s="18"/>
      <c r="B414" s="18"/>
      <c r="C414" s="18"/>
      <c r="D414" s="18"/>
      <c r="E414" s="18"/>
    </row>
    <row r="415" spans="1:5">
      <c r="A415" s="18"/>
      <c r="B415" s="18"/>
      <c r="C415" s="18"/>
      <c r="D415" s="18"/>
      <c r="E415" s="18"/>
    </row>
    <row r="416" spans="1:5">
      <c r="A416" s="18"/>
      <c r="B416" s="18"/>
      <c r="C416" s="18"/>
      <c r="D416" s="18"/>
      <c r="E416" s="18"/>
    </row>
    <row r="417" spans="1:5">
      <c r="A417" s="18"/>
      <c r="B417" s="18"/>
      <c r="C417" s="18"/>
      <c r="D417" s="18"/>
      <c r="E417" s="18"/>
    </row>
    <row r="418" hidden="1" spans="1:5">
      <c r="A418" s="18"/>
      <c r="B418" s="18"/>
      <c r="C418" s="18"/>
      <c r="D418" s="18"/>
      <c r="E418" s="18"/>
    </row>
    <row r="419" hidden="1" spans="1:5">
      <c r="A419" s="18"/>
      <c r="B419" s="18"/>
      <c r="C419" s="18"/>
      <c r="D419" s="18"/>
      <c r="E419" s="18"/>
    </row>
    <row r="420" hidden="1" spans="1:5">
      <c r="A420" s="18"/>
      <c r="B420" s="18"/>
      <c r="C420" s="18"/>
      <c r="D420" s="18"/>
      <c r="E420" s="18"/>
    </row>
    <row r="421" hidden="1" spans="1:5">
      <c r="A421" s="18"/>
      <c r="B421" s="18"/>
      <c r="C421" s="18"/>
      <c r="D421" s="18"/>
      <c r="E421" s="18"/>
    </row>
    <row r="422" hidden="1" spans="1:5">
      <c r="A422" s="18"/>
      <c r="B422" s="18"/>
      <c r="C422" s="18"/>
      <c r="D422" s="18"/>
      <c r="E422" s="18"/>
    </row>
    <row r="423" hidden="1" spans="1:5">
      <c r="A423" s="18"/>
      <c r="B423" s="18"/>
      <c r="C423" s="18"/>
      <c r="D423" s="18"/>
      <c r="E423" s="18"/>
    </row>
    <row r="424" hidden="1" spans="1:5">
      <c r="A424" s="18"/>
      <c r="B424" s="18"/>
      <c r="C424" s="18"/>
      <c r="D424" s="18"/>
      <c r="E424" s="18"/>
    </row>
    <row r="425" hidden="1" spans="1:5">
      <c r="A425" s="18"/>
      <c r="B425" s="18"/>
      <c r="C425" s="18"/>
      <c r="D425" s="18"/>
      <c r="E425" s="18"/>
    </row>
    <row r="426" hidden="1" spans="1:5">
      <c r="A426" s="18"/>
      <c r="B426" s="18"/>
      <c r="C426" s="18"/>
      <c r="D426" s="18"/>
      <c r="E426" s="18"/>
    </row>
    <row r="427" hidden="1" spans="1:5">
      <c r="A427" s="18"/>
      <c r="B427" s="18"/>
      <c r="C427" s="18"/>
      <c r="D427" s="18"/>
      <c r="E427" s="18"/>
    </row>
    <row r="428" spans="1:5">
      <c r="A428" s="18"/>
      <c r="B428" s="18"/>
      <c r="C428" s="18"/>
      <c r="D428" s="18"/>
      <c r="E428" s="18"/>
    </row>
    <row r="429" spans="1:5">
      <c r="A429" s="18"/>
      <c r="B429" s="18"/>
      <c r="C429" s="18"/>
      <c r="D429" s="18"/>
      <c r="E429" s="18"/>
    </row>
    <row r="430" spans="1:5">
      <c r="A430" s="18"/>
      <c r="B430" s="18"/>
      <c r="C430" s="18"/>
      <c r="D430" s="18"/>
      <c r="E430" s="18"/>
    </row>
    <row r="431" spans="1:5">
      <c r="A431" s="18"/>
      <c r="B431" s="18"/>
      <c r="C431" s="18"/>
      <c r="D431" s="18"/>
      <c r="E431" s="18"/>
    </row>
    <row r="432" spans="1:5">
      <c r="A432" s="18"/>
      <c r="B432" s="18"/>
      <c r="C432" s="18"/>
      <c r="D432" s="18"/>
      <c r="E432" s="18"/>
    </row>
    <row r="433" spans="1:5">
      <c r="A433" s="18"/>
      <c r="B433" s="18"/>
      <c r="C433" s="18"/>
      <c r="D433" s="18"/>
      <c r="E433" s="18"/>
    </row>
    <row r="434" spans="1:5">
      <c r="A434" s="18"/>
      <c r="B434" s="18"/>
      <c r="C434" s="18"/>
      <c r="D434" s="18"/>
      <c r="E434" s="18"/>
    </row>
    <row r="435" spans="1:5">
      <c r="A435" s="18"/>
      <c r="B435" s="18"/>
      <c r="C435" s="18"/>
      <c r="D435" s="18"/>
      <c r="E435" s="18"/>
    </row>
    <row r="436" spans="1:5">
      <c r="A436" s="18"/>
      <c r="B436" s="18"/>
      <c r="C436" s="18"/>
      <c r="D436" s="18"/>
      <c r="E436" s="18"/>
    </row>
    <row r="437" hidden="1" spans="1:5">
      <c r="A437" s="18"/>
      <c r="B437" s="18"/>
      <c r="C437" s="18"/>
      <c r="D437" s="18"/>
      <c r="E437" s="18"/>
    </row>
    <row r="438" hidden="1" spans="1:5">
      <c r="A438" s="18"/>
      <c r="B438" s="18"/>
      <c r="C438" s="18"/>
      <c r="D438" s="18"/>
      <c r="E438" s="18"/>
    </row>
    <row r="439" hidden="1" spans="1:5">
      <c r="A439" s="18"/>
      <c r="B439" s="18"/>
      <c r="C439" s="18"/>
      <c r="D439" s="18"/>
      <c r="E439" s="18"/>
    </row>
    <row r="440" hidden="1" spans="1:5">
      <c r="A440" s="18"/>
      <c r="B440" s="18"/>
      <c r="C440" s="18"/>
      <c r="D440" s="18"/>
      <c r="E440" s="18"/>
    </row>
    <row r="441" hidden="1" spans="1:5">
      <c r="A441" s="18"/>
      <c r="B441" s="18"/>
      <c r="C441" s="18"/>
      <c r="D441" s="18"/>
      <c r="E441" s="18"/>
    </row>
    <row r="442" spans="1:5">
      <c r="A442" s="18"/>
      <c r="B442" s="18"/>
      <c r="C442" s="18"/>
      <c r="D442" s="18"/>
      <c r="E442" s="18"/>
    </row>
    <row r="443" spans="1:5">
      <c r="A443" s="18"/>
      <c r="B443" s="18"/>
      <c r="C443" s="18"/>
      <c r="D443" s="18"/>
      <c r="E443" s="18"/>
    </row>
    <row r="444" spans="1:5">
      <c r="A444" s="18"/>
      <c r="B444" s="18"/>
      <c r="C444" s="18"/>
      <c r="D444" s="18"/>
      <c r="E444" s="18"/>
    </row>
    <row r="445" spans="1:5">
      <c r="A445" s="18"/>
      <c r="B445" s="18"/>
      <c r="C445" s="18"/>
      <c r="D445" s="18"/>
      <c r="E445" s="18"/>
    </row>
    <row r="446" spans="1:5">
      <c r="A446" s="18"/>
      <c r="B446" s="18"/>
      <c r="C446" s="18"/>
      <c r="D446" s="18"/>
      <c r="E446" s="18"/>
    </row>
    <row r="447" spans="1:5">
      <c r="A447" s="18"/>
      <c r="B447" s="18"/>
      <c r="C447" s="18"/>
      <c r="D447" s="18"/>
      <c r="E447" s="18"/>
    </row>
    <row r="448" spans="1:5">
      <c r="A448" s="18"/>
      <c r="B448" s="18"/>
      <c r="C448" s="18"/>
      <c r="D448" s="18"/>
      <c r="E448" s="18"/>
    </row>
    <row r="449" spans="1:5">
      <c r="A449" s="18"/>
      <c r="B449" s="18"/>
      <c r="C449" s="18"/>
      <c r="D449" s="18"/>
      <c r="E449" s="18"/>
    </row>
    <row r="450" hidden="1" spans="1:5">
      <c r="A450" s="18"/>
      <c r="B450" s="18"/>
      <c r="C450" s="18"/>
      <c r="D450" s="18"/>
      <c r="E450" s="18"/>
    </row>
    <row r="451" hidden="1" spans="1:5">
      <c r="A451" s="18"/>
      <c r="B451" s="18"/>
      <c r="C451" s="18"/>
      <c r="D451" s="18"/>
      <c r="E451" s="18"/>
    </row>
    <row r="452" hidden="1" spans="1:5">
      <c r="A452" s="18"/>
      <c r="B452" s="18"/>
      <c r="C452" s="18"/>
      <c r="D452" s="18"/>
      <c r="E452" s="18"/>
    </row>
    <row r="453" hidden="1" spans="1:5">
      <c r="A453" s="18"/>
      <c r="B453" s="18"/>
      <c r="C453" s="18"/>
      <c r="D453" s="18"/>
      <c r="E453" s="18"/>
    </row>
    <row r="454" hidden="1" spans="1:5">
      <c r="A454" s="18"/>
      <c r="B454" s="18"/>
      <c r="C454" s="18"/>
      <c r="D454" s="18"/>
      <c r="E454" s="18"/>
    </row>
    <row r="455" hidden="1" spans="1:5">
      <c r="A455" s="18"/>
      <c r="B455" s="18"/>
      <c r="C455" s="18"/>
      <c r="D455" s="18"/>
      <c r="E455" s="18"/>
    </row>
    <row r="456" hidden="1" spans="1:5">
      <c r="A456" s="18"/>
      <c r="B456" s="18"/>
      <c r="C456" s="18"/>
      <c r="D456" s="18"/>
      <c r="E456" s="18"/>
    </row>
    <row r="457" hidden="1" spans="1:5">
      <c r="A457" s="18"/>
      <c r="B457" s="18"/>
      <c r="C457" s="18"/>
      <c r="D457" s="18"/>
      <c r="E457" s="18"/>
    </row>
    <row r="458" hidden="1" spans="1:5">
      <c r="A458" s="18"/>
      <c r="B458" s="18"/>
      <c r="C458" s="18"/>
      <c r="D458" s="18"/>
      <c r="E458" s="18"/>
    </row>
    <row r="459" hidden="1" spans="1:5">
      <c r="A459" s="18"/>
      <c r="B459" s="18"/>
      <c r="C459" s="18"/>
      <c r="D459" s="18"/>
      <c r="E459" s="18"/>
    </row>
    <row r="460" hidden="1" spans="1:5">
      <c r="A460" s="18"/>
      <c r="B460" s="18"/>
      <c r="C460" s="18"/>
      <c r="D460" s="18"/>
      <c r="E460" s="18"/>
    </row>
    <row r="461" hidden="1" spans="1:5">
      <c r="A461" s="18"/>
      <c r="B461" s="18"/>
      <c r="C461" s="18"/>
      <c r="D461" s="18"/>
      <c r="E461" s="18"/>
    </row>
    <row r="462" hidden="1" spans="1:5">
      <c r="A462" s="18"/>
      <c r="B462" s="18"/>
      <c r="C462" s="18"/>
      <c r="D462" s="18"/>
      <c r="E462" s="18"/>
    </row>
    <row r="463" hidden="1" spans="1:5">
      <c r="A463" s="18"/>
      <c r="B463" s="18"/>
      <c r="C463" s="18"/>
      <c r="D463" s="18"/>
      <c r="E463" s="18"/>
    </row>
    <row r="464" hidden="1" spans="1:5">
      <c r="A464" s="18"/>
      <c r="B464" s="18"/>
      <c r="C464" s="18"/>
      <c r="D464" s="18"/>
      <c r="E464" s="18"/>
    </row>
    <row r="465" hidden="1" spans="1:5">
      <c r="A465" s="18"/>
      <c r="B465" s="18"/>
      <c r="C465" s="18"/>
      <c r="D465" s="18"/>
      <c r="E465" s="18"/>
    </row>
    <row r="466" hidden="1" spans="1:5">
      <c r="A466" s="18"/>
      <c r="B466" s="18"/>
      <c r="C466" s="18"/>
      <c r="D466" s="18"/>
      <c r="E466" s="18"/>
    </row>
    <row r="467" hidden="1" spans="1:5">
      <c r="A467" s="18"/>
      <c r="B467" s="18"/>
      <c r="C467" s="18"/>
      <c r="D467" s="18"/>
      <c r="E467" s="18"/>
    </row>
    <row r="468" hidden="1" spans="1:5">
      <c r="A468" s="18"/>
      <c r="B468" s="18"/>
      <c r="C468" s="18"/>
      <c r="D468" s="18"/>
      <c r="E468" s="18"/>
    </row>
    <row r="469" hidden="1" spans="1:5">
      <c r="A469" s="18"/>
      <c r="B469" s="18"/>
      <c r="C469" s="18"/>
      <c r="D469" s="18"/>
      <c r="E469" s="18"/>
    </row>
    <row r="470" hidden="1" spans="1:5">
      <c r="A470" s="18"/>
      <c r="B470" s="18"/>
      <c r="C470" s="18"/>
      <c r="D470" s="18"/>
      <c r="E470" s="18"/>
    </row>
    <row r="471" hidden="1" spans="1:5">
      <c r="A471" s="18"/>
      <c r="B471" s="18"/>
      <c r="C471" s="18"/>
      <c r="D471" s="18"/>
      <c r="E471" s="18"/>
    </row>
    <row r="472" hidden="1" spans="1:5">
      <c r="A472" s="18"/>
      <c r="B472" s="18"/>
      <c r="C472" s="18"/>
      <c r="D472" s="18"/>
      <c r="E472" s="18"/>
    </row>
    <row r="473" hidden="1" spans="1:5">
      <c r="A473" s="18"/>
      <c r="B473" s="18"/>
      <c r="C473" s="18"/>
      <c r="D473" s="18"/>
      <c r="E473" s="18"/>
    </row>
    <row r="474" hidden="1" spans="1:5">
      <c r="A474" s="18"/>
      <c r="B474" s="18"/>
      <c r="C474" s="18"/>
      <c r="D474" s="18"/>
      <c r="E474" s="18"/>
    </row>
    <row r="475" hidden="1" spans="1:5">
      <c r="A475" s="18"/>
      <c r="B475" s="18"/>
      <c r="C475" s="18"/>
      <c r="D475" s="18"/>
      <c r="E475" s="18"/>
    </row>
    <row r="476" hidden="1" spans="1:5">
      <c r="A476" s="18"/>
      <c r="B476" s="18"/>
      <c r="C476" s="18"/>
      <c r="D476" s="18"/>
      <c r="E476" s="18"/>
    </row>
    <row r="477" hidden="1" spans="1:5">
      <c r="A477" s="18"/>
      <c r="B477" s="18"/>
      <c r="C477" s="18"/>
      <c r="D477" s="18"/>
      <c r="E477" s="18"/>
    </row>
    <row r="478" spans="1:5">
      <c r="A478" s="18"/>
      <c r="B478" s="18"/>
      <c r="C478" s="18"/>
      <c r="D478" s="18"/>
      <c r="E478" s="18"/>
    </row>
    <row r="479" spans="1:5">
      <c r="A479" s="18"/>
      <c r="B479" s="18"/>
      <c r="C479" s="18"/>
      <c r="D479" s="18"/>
      <c r="E479" s="18"/>
    </row>
    <row r="480" spans="1:5">
      <c r="A480" s="18"/>
      <c r="B480" s="18"/>
      <c r="C480" s="18"/>
      <c r="D480" s="18"/>
      <c r="E480" s="18"/>
    </row>
    <row r="481" spans="1:5">
      <c r="A481" s="18"/>
      <c r="B481" s="18"/>
      <c r="C481" s="18"/>
      <c r="D481" s="18"/>
      <c r="E481" s="18"/>
    </row>
    <row r="482" spans="1:5">
      <c r="A482" s="18"/>
      <c r="B482" s="18"/>
      <c r="C482" s="18"/>
      <c r="D482" s="18"/>
      <c r="E482" s="18"/>
    </row>
    <row r="483" spans="1:5">
      <c r="A483" s="18"/>
      <c r="B483" s="18"/>
      <c r="C483" s="18"/>
      <c r="D483" s="18"/>
      <c r="E483" s="18"/>
    </row>
    <row r="484" spans="1:5">
      <c r="A484" s="18"/>
      <c r="B484" s="18"/>
      <c r="C484" s="18"/>
      <c r="D484" s="18"/>
      <c r="E484" s="18"/>
    </row>
    <row r="485" spans="1:5">
      <c r="A485" s="18"/>
      <c r="B485" s="18"/>
      <c r="C485" s="18"/>
      <c r="D485" s="18"/>
      <c r="E485" s="18"/>
    </row>
    <row r="486" spans="1:5">
      <c r="A486" s="18"/>
      <c r="B486" s="18"/>
      <c r="C486" s="18"/>
      <c r="D486" s="18"/>
      <c r="E486" s="18"/>
    </row>
    <row r="487" spans="1:5">
      <c r="A487" s="18"/>
      <c r="B487" s="18"/>
      <c r="C487" s="18"/>
      <c r="D487" s="18"/>
      <c r="E487" s="18"/>
    </row>
    <row r="488" spans="1:5">
      <c r="A488" s="18"/>
      <c r="B488" s="18"/>
      <c r="C488" s="18"/>
      <c r="D488" s="18"/>
      <c r="E488" s="18"/>
    </row>
    <row r="489" spans="1:5">
      <c r="A489" s="18"/>
      <c r="B489" s="18"/>
      <c r="C489" s="18"/>
      <c r="D489" s="18"/>
      <c r="E489" s="18"/>
    </row>
    <row r="490" spans="1:5">
      <c r="A490" s="18"/>
      <c r="B490" s="18"/>
      <c r="C490" s="18"/>
      <c r="D490" s="18"/>
      <c r="E490" s="18"/>
    </row>
    <row r="491" hidden="1" spans="1:5">
      <c r="A491" s="18"/>
      <c r="B491" s="18"/>
      <c r="C491" s="18"/>
      <c r="D491" s="18"/>
      <c r="E491" s="18"/>
    </row>
    <row r="492" spans="1:5">
      <c r="A492" s="18"/>
      <c r="B492" s="18"/>
      <c r="C492" s="18"/>
      <c r="D492" s="18"/>
      <c r="E492" s="18"/>
    </row>
    <row r="493" spans="1:5">
      <c r="A493" s="18"/>
      <c r="B493" s="18"/>
      <c r="C493" s="18"/>
      <c r="D493" s="18"/>
      <c r="E493" s="18"/>
    </row>
    <row r="494" spans="1:5">
      <c r="A494" s="18"/>
      <c r="B494" s="18"/>
      <c r="C494" s="18"/>
      <c r="D494" s="18"/>
      <c r="E494" s="18"/>
    </row>
    <row r="495" spans="1:5">
      <c r="A495" s="18"/>
      <c r="B495" s="18"/>
      <c r="C495" s="18"/>
      <c r="D495" s="18"/>
      <c r="E495" s="18"/>
    </row>
    <row r="496" spans="1:5">
      <c r="A496" s="18"/>
      <c r="B496" s="18"/>
      <c r="C496" s="18"/>
      <c r="D496" s="18"/>
      <c r="E496" s="18"/>
    </row>
    <row r="497" hidden="1" spans="1:5">
      <c r="A497" s="18"/>
      <c r="B497" s="18"/>
      <c r="C497" s="18"/>
      <c r="D497" s="18"/>
      <c r="E497" s="18"/>
    </row>
    <row r="498" hidden="1" spans="1:5">
      <c r="A498" s="18"/>
      <c r="B498" s="18"/>
      <c r="C498" s="18"/>
      <c r="D498" s="18"/>
      <c r="E498" s="18"/>
    </row>
    <row r="499" hidden="1" spans="1:5">
      <c r="A499" s="18"/>
      <c r="B499" s="18"/>
      <c r="C499" s="18"/>
      <c r="D499" s="18"/>
      <c r="E499" s="18"/>
    </row>
    <row r="500" hidden="1" spans="1:5">
      <c r="A500" s="18"/>
      <c r="B500" s="18"/>
      <c r="C500" s="18"/>
      <c r="D500" s="18"/>
      <c r="E500" s="18"/>
    </row>
    <row r="501" hidden="1" spans="1:5">
      <c r="A501" s="18"/>
      <c r="B501" s="18"/>
      <c r="C501" s="18"/>
      <c r="D501" s="18"/>
      <c r="E501" s="18"/>
    </row>
    <row r="502" hidden="1" spans="1:5">
      <c r="A502" s="18"/>
      <c r="B502" s="18"/>
      <c r="C502" s="18"/>
      <c r="D502" s="18"/>
      <c r="E502" s="18"/>
    </row>
    <row r="503" hidden="1" spans="1:5">
      <c r="A503" s="18"/>
      <c r="B503" s="18"/>
      <c r="C503" s="18"/>
      <c r="D503" s="18"/>
      <c r="E503" s="18"/>
    </row>
    <row r="504" hidden="1" spans="1:5">
      <c r="A504" s="18"/>
      <c r="B504" s="18"/>
      <c r="C504" s="18"/>
      <c r="D504" s="18"/>
      <c r="E504" s="18"/>
    </row>
    <row r="505" hidden="1" spans="1:5">
      <c r="A505" s="18"/>
      <c r="B505" s="18"/>
      <c r="C505" s="18"/>
      <c r="D505" s="18"/>
      <c r="E505" s="18"/>
    </row>
    <row r="506" hidden="1" spans="1:5">
      <c r="A506" s="18"/>
      <c r="B506" s="18"/>
      <c r="C506" s="18"/>
      <c r="D506" s="18"/>
      <c r="E506" s="18"/>
    </row>
    <row r="507" hidden="1" spans="1:5">
      <c r="A507" s="18"/>
      <c r="B507" s="18"/>
      <c r="C507" s="18"/>
      <c r="D507" s="18"/>
      <c r="E507" s="18"/>
    </row>
    <row r="508" spans="1:5">
      <c r="A508" s="18"/>
      <c r="B508" s="18"/>
      <c r="C508" s="18"/>
      <c r="D508" s="18"/>
      <c r="E508" s="18"/>
    </row>
    <row r="509" hidden="1" spans="1:5">
      <c r="A509" s="18"/>
      <c r="B509" s="18"/>
      <c r="C509" s="18"/>
      <c r="D509" s="18"/>
      <c r="E509" s="18"/>
    </row>
    <row r="510" spans="1:5">
      <c r="A510" s="18"/>
      <c r="B510" s="18"/>
      <c r="C510" s="18"/>
      <c r="D510" s="18"/>
      <c r="E510" s="18"/>
    </row>
  </sheetData>
  <autoFilter xmlns:etc="http://www.wps.cn/officeDocument/2017/etCustomData" ref="A1:E384" etc:filterBottomFollowUsedRange="0">
    <extLst/>
  </autoFilter>
  <pageMargins left="0.751388888888889" right="0.751388888888889" top="0.511805555555556" bottom="0.472222222222222" header="0.5" footer="0.5"/>
  <pageSetup paperSize="2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4"/>
  <sheetViews>
    <sheetView topLeftCell="A367" workbookViewId="0">
      <selection activeCell="A379" sqref="$A379:$XFD379"/>
    </sheetView>
  </sheetViews>
  <sheetFormatPr defaultColWidth="17.6333333333333" defaultRowHeight="13.5" outlineLevelCol="5"/>
  <cols>
    <col min="1" max="1" width="26" style="2" customWidth="1"/>
    <col min="2" max="5" width="17.6333333333333" style="2" customWidth="1"/>
    <col min="6" max="16384" width="17.6333333333333" style="31" customWidth="1"/>
  </cols>
  <sheetData>
    <row r="1" spans="1:5">
      <c r="A1" s="30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5045</v>
      </c>
      <c r="B2" s="3">
        <v>20051841</v>
      </c>
      <c r="C2" s="2" t="s">
        <v>5046</v>
      </c>
      <c r="D2" s="2" t="s">
        <v>7</v>
      </c>
      <c r="E2" s="3">
        <v>1</v>
      </c>
    </row>
    <row r="3" spans="1:5">
      <c r="A3" s="2" t="s">
        <v>5045</v>
      </c>
      <c r="B3" s="3">
        <v>20051844</v>
      </c>
      <c r="C3" s="3" t="s">
        <v>5047</v>
      </c>
      <c r="D3" s="2" t="s">
        <v>7</v>
      </c>
      <c r="E3" s="3">
        <v>1</v>
      </c>
    </row>
    <row r="4" spans="1:5">
      <c r="A4" s="2" t="s">
        <v>5045</v>
      </c>
      <c r="B4" s="3">
        <v>20130732</v>
      </c>
      <c r="C4" s="3" t="s">
        <v>2478</v>
      </c>
      <c r="D4" s="2" t="s">
        <v>7</v>
      </c>
      <c r="E4" s="3">
        <v>1</v>
      </c>
    </row>
    <row r="5" spans="1:5">
      <c r="A5" s="2" t="s">
        <v>5045</v>
      </c>
      <c r="B5" s="3">
        <v>20160400</v>
      </c>
      <c r="C5" s="3" t="s">
        <v>372</v>
      </c>
      <c r="D5" s="2" t="s">
        <v>7</v>
      </c>
      <c r="E5" s="3">
        <v>1</v>
      </c>
    </row>
    <row r="6" spans="1:5">
      <c r="A6" s="2" t="s">
        <v>5045</v>
      </c>
      <c r="B6" s="3">
        <v>20210713</v>
      </c>
      <c r="C6" s="3" t="s">
        <v>5048</v>
      </c>
      <c r="D6" s="2" t="s">
        <v>7</v>
      </c>
      <c r="E6" s="3">
        <v>1</v>
      </c>
    </row>
    <row r="7" spans="1:5">
      <c r="A7" s="2" t="s">
        <v>5045</v>
      </c>
      <c r="B7" s="3">
        <v>20210861</v>
      </c>
      <c r="C7" s="3" t="s">
        <v>235</v>
      </c>
      <c r="D7" s="2" t="s">
        <v>7</v>
      </c>
      <c r="E7" s="3">
        <v>1</v>
      </c>
    </row>
    <row r="8" spans="1:5">
      <c r="A8" s="2" t="s">
        <v>5045</v>
      </c>
      <c r="B8" s="3">
        <v>20160396</v>
      </c>
      <c r="C8" s="3" t="s">
        <v>3212</v>
      </c>
      <c r="D8" s="2" t="s">
        <v>7</v>
      </c>
      <c r="E8" s="3">
        <v>1</v>
      </c>
    </row>
    <row r="9" spans="1:5">
      <c r="A9" s="2" t="s">
        <v>5045</v>
      </c>
      <c r="B9" s="3">
        <v>20160395</v>
      </c>
      <c r="C9" s="3" t="s">
        <v>3212</v>
      </c>
      <c r="D9" s="2" t="s">
        <v>7</v>
      </c>
      <c r="E9" s="3">
        <v>1</v>
      </c>
    </row>
    <row r="10" spans="1:5">
      <c r="A10" s="2" t="s">
        <v>5045</v>
      </c>
      <c r="B10" s="3">
        <v>20022445</v>
      </c>
      <c r="C10" s="3" t="s">
        <v>364</v>
      </c>
      <c r="D10" s="2" t="s">
        <v>7</v>
      </c>
      <c r="E10" s="3">
        <v>1</v>
      </c>
    </row>
    <row r="11" spans="1:5">
      <c r="A11" s="2" t="s">
        <v>5045</v>
      </c>
      <c r="B11" s="3">
        <v>20030654</v>
      </c>
      <c r="C11" s="3" t="s">
        <v>364</v>
      </c>
      <c r="D11" s="2" t="s">
        <v>7</v>
      </c>
      <c r="E11" s="3">
        <v>1</v>
      </c>
    </row>
    <row r="12" spans="1:5">
      <c r="A12" s="2" t="s">
        <v>5045</v>
      </c>
      <c r="B12" s="3">
        <v>20100278</v>
      </c>
      <c r="C12" s="3" t="s">
        <v>96</v>
      </c>
      <c r="D12" s="2" t="s">
        <v>7</v>
      </c>
      <c r="E12" s="3">
        <v>1</v>
      </c>
    </row>
    <row r="13" spans="1:5">
      <c r="A13" s="2" t="s">
        <v>5045</v>
      </c>
      <c r="B13" s="3">
        <v>20100284</v>
      </c>
      <c r="C13" s="3" t="s">
        <v>96</v>
      </c>
      <c r="D13" s="2" t="s">
        <v>7</v>
      </c>
      <c r="E13" s="3">
        <v>1</v>
      </c>
    </row>
    <row r="14" spans="1:5">
      <c r="A14" s="2" t="s">
        <v>5045</v>
      </c>
      <c r="B14" s="3">
        <v>20100290</v>
      </c>
      <c r="C14" s="3" t="s">
        <v>772</v>
      </c>
      <c r="D14" s="2" t="s">
        <v>7</v>
      </c>
      <c r="E14" s="3">
        <v>1</v>
      </c>
    </row>
    <row r="15" spans="1:5">
      <c r="A15" s="2" t="s">
        <v>5045</v>
      </c>
      <c r="B15" s="3">
        <v>20160398</v>
      </c>
      <c r="C15" s="3" t="s">
        <v>3212</v>
      </c>
      <c r="D15" s="2" t="s">
        <v>7</v>
      </c>
      <c r="E15" s="3">
        <v>1</v>
      </c>
    </row>
    <row r="16" spans="1:5">
      <c r="A16" s="2" t="s">
        <v>5045</v>
      </c>
      <c r="B16" s="3">
        <v>20160399</v>
      </c>
      <c r="C16" s="3" t="s">
        <v>372</v>
      </c>
      <c r="D16" s="2" t="s">
        <v>7</v>
      </c>
      <c r="E16" s="3">
        <v>1</v>
      </c>
    </row>
    <row r="17" spans="1:5">
      <c r="A17" s="2" t="s">
        <v>5045</v>
      </c>
      <c r="B17" s="3">
        <v>20160404</v>
      </c>
      <c r="C17" s="3" t="s">
        <v>4677</v>
      </c>
      <c r="D17" s="2" t="s">
        <v>7</v>
      </c>
      <c r="E17" s="3">
        <v>1</v>
      </c>
    </row>
    <row r="18" spans="1:5">
      <c r="A18" s="2" t="s">
        <v>5045</v>
      </c>
      <c r="B18" s="3">
        <v>20200438</v>
      </c>
      <c r="C18" s="3" t="s">
        <v>96</v>
      </c>
      <c r="D18" s="2" t="s">
        <v>7</v>
      </c>
      <c r="E18" s="3">
        <v>1</v>
      </c>
    </row>
    <row r="19" spans="1:5">
      <c r="A19" s="2" t="s">
        <v>5045</v>
      </c>
      <c r="B19" s="3">
        <v>20200439</v>
      </c>
      <c r="C19" s="3" t="s">
        <v>96</v>
      </c>
      <c r="D19" s="2" t="s">
        <v>7</v>
      </c>
      <c r="E19" s="3">
        <v>1</v>
      </c>
    </row>
    <row r="20" spans="1:5">
      <c r="A20" s="2" t="s">
        <v>5045</v>
      </c>
      <c r="B20" s="3">
        <v>20200440</v>
      </c>
      <c r="C20" s="3" t="s">
        <v>96</v>
      </c>
      <c r="D20" s="2" t="s">
        <v>7</v>
      </c>
      <c r="E20" s="3">
        <v>1</v>
      </c>
    </row>
    <row r="21" spans="1:5">
      <c r="A21" s="2" t="s">
        <v>5045</v>
      </c>
      <c r="B21" s="3">
        <v>20200441</v>
      </c>
      <c r="C21" s="3" t="s">
        <v>96</v>
      </c>
      <c r="D21" s="2" t="s">
        <v>7</v>
      </c>
      <c r="E21" s="3">
        <v>1</v>
      </c>
    </row>
    <row r="22" spans="1:5">
      <c r="A22" s="2" t="s">
        <v>5045</v>
      </c>
      <c r="B22" s="3">
        <v>20200442</v>
      </c>
      <c r="C22" s="3" t="s">
        <v>96</v>
      </c>
      <c r="D22" s="2" t="s">
        <v>7</v>
      </c>
      <c r="E22" s="3">
        <v>1</v>
      </c>
    </row>
    <row r="23" spans="1:5">
      <c r="A23" s="2" t="s">
        <v>5045</v>
      </c>
      <c r="B23" s="3">
        <v>20200443</v>
      </c>
      <c r="C23" s="3" t="s">
        <v>96</v>
      </c>
      <c r="D23" s="2" t="s">
        <v>7</v>
      </c>
      <c r="E23" s="3">
        <v>1</v>
      </c>
    </row>
    <row r="24" spans="1:5">
      <c r="A24" s="2" t="s">
        <v>5045</v>
      </c>
      <c r="B24" s="3">
        <v>20200444</v>
      </c>
      <c r="C24" s="3" t="s">
        <v>96</v>
      </c>
      <c r="D24" s="2" t="s">
        <v>7</v>
      </c>
      <c r="E24" s="3">
        <v>1</v>
      </c>
    </row>
    <row r="25" spans="1:5">
      <c r="A25" s="2" t="s">
        <v>5045</v>
      </c>
      <c r="B25" s="3">
        <v>20200445</v>
      </c>
      <c r="C25" s="3" t="s">
        <v>96</v>
      </c>
      <c r="D25" s="2" t="s">
        <v>7</v>
      </c>
      <c r="E25" s="3">
        <v>1</v>
      </c>
    </row>
    <row r="26" spans="1:5">
      <c r="A26" s="2" t="s">
        <v>5045</v>
      </c>
      <c r="B26" s="3">
        <v>20200446</v>
      </c>
      <c r="C26" s="3" t="s">
        <v>96</v>
      </c>
      <c r="D26" s="2" t="s">
        <v>7</v>
      </c>
      <c r="E26" s="3">
        <v>1</v>
      </c>
    </row>
    <row r="27" spans="1:5">
      <c r="A27" s="2" t="s">
        <v>5045</v>
      </c>
      <c r="B27" s="3">
        <v>20200447</v>
      </c>
      <c r="C27" s="3" t="s">
        <v>96</v>
      </c>
      <c r="D27" s="2" t="s">
        <v>7</v>
      </c>
      <c r="E27" s="3">
        <v>1</v>
      </c>
    </row>
    <row r="28" spans="1:5">
      <c r="A28" s="2" t="s">
        <v>5045</v>
      </c>
      <c r="B28" s="3">
        <v>20200448</v>
      </c>
      <c r="C28" s="3" t="s">
        <v>96</v>
      </c>
      <c r="D28" s="2" t="s">
        <v>7</v>
      </c>
      <c r="E28" s="3">
        <v>1</v>
      </c>
    </row>
    <row r="29" spans="1:5">
      <c r="A29" s="2" t="s">
        <v>5045</v>
      </c>
      <c r="B29" s="3">
        <v>20200449</v>
      </c>
      <c r="C29" s="3" t="s">
        <v>96</v>
      </c>
      <c r="D29" s="2" t="s">
        <v>7</v>
      </c>
      <c r="E29" s="3">
        <v>1</v>
      </c>
    </row>
    <row r="30" spans="1:5">
      <c r="A30" s="2" t="s">
        <v>5045</v>
      </c>
      <c r="B30" s="3">
        <v>20200450</v>
      </c>
      <c r="C30" s="3" t="s">
        <v>96</v>
      </c>
      <c r="D30" s="2" t="s">
        <v>7</v>
      </c>
      <c r="E30" s="3">
        <v>1</v>
      </c>
    </row>
    <row r="31" spans="1:5">
      <c r="A31" s="2" t="s">
        <v>5045</v>
      </c>
      <c r="B31" s="3">
        <v>20200451</v>
      </c>
      <c r="C31" s="3" t="s">
        <v>96</v>
      </c>
      <c r="D31" s="2" t="s">
        <v>7</v>
      </c>
      <c r="E31" s="3">
        <v>1</v>
      </c>
    </row>
    <row r="32" spans="1:5">
      <c r="A32" s="2" t="s">
        <v>5045</v>
      </c>
      <c r="B32" s="3">
        <v>20200452</v>
      </c>
      <c r="C32" s="3" t="s">
        <v>96</v>
      </c>
      <c r="D32" s="2" t="s">
        <v>7</v>
      </c>
      <c r="E32" s="3">
        <v>1</v>
      </c>
    </row>
    <row r="33" spans="1:5">
      <c r="A33" s="2" t="s">
        <v>5045</v>
      </c>
      <c r="B33" s="3">
        <v>20200453</v>
      </c>
      <c r="C33" s="3" t="s">
        <v>96</v>
      </c>
      <c r="D33" s="2" t="s">
        <v>7</v>
      </c>
      <c r="E33" s="3">
        <v>1</v>
      </c>
    </row>
    <row r="34" spans="1:5">
      <c r="A34" s="2" t="s">
        <v>5045</v>
      </c>
      <c r="B34" s="3">
        <v>20200454</v>
      </c>
      <c r="C34" s="3" t="s">
        <v>96</v>
      </c>
      <c r="D34" s="2" t="s">
        <v>7</v>
      </c>
      <c r="E34" s="3">
        <v>1</v>
      </c>
    </row>
    <row r="35" spans="1:5">
      <c r="A35" s="2" t="s">
        <v>5045</v>
      </c>
      <c r="B35" s="3">
        <v>20200455</v>
      </c>
      <c r="C35" s="3" t="s">
        <v>96</v>
      </c>
      <c r="D35" s="2" t="s">
        <v>7</v>
      </c>
      <c r="E35" s="3">
        <v>1</v>
      </c>
    </row>
    <row r="36" spans="1:5">
      <c r="A36" s="2" t="s">
        <v>5045</v>
      </c>
      <c r="B36" s="3">
        <v>20200456</v>
      </c>
      <c r="C36" s="3" t="s">
        <v>96</v>
      </c>
      <c r="D36" s="2" t="s">
        <v>7</v>
      </c>
      <c r="E36" s="3">
        <v>1</v>
      </c>
    </row>
    <row r="37" spans="1:5">
      <c r="A37" s="2" t="s">
        <v>5045</v>
      </c>
      <c r="B37" s="3">
        <v>20200457</v>
      </c>
      <c r="C37" s="3" t="s">
        <v>96</v>
      </c>
      <c r="D37" s="2" t="s">
        <v>7</v>
      </c>
      <c r="E37" s="3">
        <v>1</v>
      </c>
    </row>
    <row r="38" spans="1:5">
      <c r="A38" s="2" t="s">
        <v>5045</v>
      </c>
      <c r="B38" s="3">
        <v>20200458</v>
      </c>
      <c r="C38" s="3" t="s">
        <v>96</v>
      </c>
      <c r="D38" s="2" t="s">
        <v>7</v>
      </c>
      <c r="E38" s="3">
        <v>1</v>
      </c>
    </row>
    <row r="39" spans="1:5">
      <c r="A39" s="2" t="s">
        <v>5045</v>
      </c>
      <c r="B39" s="3">
        <v>20200459</v>
      </c>
      <c r="C39" s="3" t="s">
        <v>96</v>
      </c>
      <c r="D39" s="2" t="s">
        <v>7</v>
      </c>
      <c r="E39" s="3">
        <v>1</v>
      </c>
    </row>
    <row r="40" spans="1:5">
      <c r="A40" s="2" t="s">
        <v>5045</v>
      </c>
      <c r="B40" s="3">
        <v>20200460</v>
      </c>
      <c r="C40" s="3" t="s">
        <v>96</v>
      </c>
      <c r="D40" s="2" t="s">
        <v>7</v>
      </c>
      <c r="E40" s="3">
        <v>1</v>
      </c>
    </row>
    <row r="41" spans="1:5">
      <c r="A41" s="2" t="s">
        <v>5045</v>
      </c>
      <c r="B41" s="3">
        <v>20200461</v>
      </c>
      <c r="C41" s="3" t="s">
        <v>96</v>
      </c>
      <c r="D41" s="2" t="s">
        <v>7</v>
      </c>
      <c r="E41" s="3">
        <v>1</v>
      </c>
    </row>
    <row r="42" spans="1:5">
      <c r="A42" s="2" t="s">
        <v>5045</v>
      </c>
      <c r="B42" s="3">
        <v>20200462</v>
      </c>
      <c r="C42" s="3" t="s">
        <v>96</v>
      </c>
      <c r="D42" s="2" t="s">
        <v>7</v>
      </c>
      <c r="E42" s="3">
        <v>1</v>
      </c>
    </row>
    <row r="43" spans="1:5">
      <c r="A43" s="2" t="s">
        <v>5045</v>
      </c>
      <c r="B43" s="3">
        <v>20200463</v>
      </c>
      <c r="C43" s="3" t="s">
        <v>96</v>
      </c>
      <c r="D43" s="2" t="s">
        <v>7</v>
      </c>
      <c r="E43" s="3">
        <v>1</v>
      </c>
    </row>
    <row r="44" spans="1:5">
      <c r="A44" s="2" t="s">
        <v>5045</v>
      </c>
      <c r="B44" s="3">
        <v>20200464</v>
      </c>
      <c r="C44" s="3" t="s">
        <v>96</v>
      </c>
      <c r="D44" s="2" t="s">
        <v>7</v>
      </c>
      <c r="E44" s="3">
        <v>1</v>
      </c>
    </row>
    <row r="45" spans="1:5">
      <c r="A45" s="2" t="s">
        <v>5045</v>
      </c>
      <c r="B45" s="3">
        <v>20200465</v>
      </c>
      <c r="C45" s="3" t="s">
        <v>96</v>
      </c>
      <c r="D45" s="2" t="s">
        <v>7</v>
      </c>
      <c r="E45" s="3">
        <v>1</v>
      </c>
    </row>
    <row r="46" spans="1:5">
      <c r="A46" s="2" t="s">
        <v>5045</v>
      </c>
      <c r="B46" s="3">
        <v>20200466</v>
      </c>
      <c r="C46" s="3" t="s">
        <v>96</v>
      </c>
      <c r="D46" s="2" t="s">
        <v>7</v>
      </c>
      <c r="E46" s="3">
        <v>1</v>
      </c>
    </row>
    <row r="47" spans="1:5">
      <c r="A47" s="2" t="s">
        <v>5045</v>
      </c>
      <c r="B47" s="3">
        <v>20200467</v>
      </c>
      <c r="C47" s="3" t="s">
        <v>96</v>
      </c>
      <c r="D47" s="2" t="s">
        <v>7</v>
      </c>
      <c r="E47" s="3">
        <v>1</v>
      </c>
    </row>
    <row r="48" spans="1:5">
      <c r="A48" s="2" t="s">
        <v>5045</v>
      </c>
      <c r="B48" s="3">
        <v>20200468</v>
      </c>
      <c r="C48" s="3" t="s">
        <v>96</v>
      </c>
      <c r="D48" s="2" t="s">
        <v>7</v>
      </c>
      <c r="E48" s="3">
        <v>1</v>
      </c>
    </row>
    <row r="49" spans="1:5">
      <c r="A49" s="2" t="s">
        <v>5045</v>
      </c>
      <c r="B49" s="3">
        <v>20200469</v>
      </c>
      <c r="C49" s="3" t="s">
        <v>96</v>
      </c>
      <c r="D49" s="2" t="s">
        <v>7</v>
      </c>
      <c r="E49" s="3">
        <v>1</v>
      </c>
    </row>
    <row r="50" spans="1:5">
      <c r="A50" s="2" t="s">
        <v>5045</v>
      </c>
      <c r="B50" s="3">
        <v>20200470</v>
      </c>
      <c r="C50" s="3" t="s">
        <v>96</v>
      </c>
      <c r="D50" s="2" t="s">
        <v>7</v>
      </c>
      <c r="E50" s="3">
        <v>1</v>
      </c>
    </row>
    <row r="51" spans="1:5">
      <c r="A51" s="2" t="s">
        <v>5045</v>
      </c>
      <c r="B51" s="3">
        <v>20200471</v>
      </c>
      <c r="C51" s="3" t="s">
        <v>96</v>
      </c>
      <c r="D51" s="2" t="s">
        <v>7</v>
      </c>
      <c r="E51" s="3">
        <v>1</v>
      </c>
    </row>
    <row r="52" spans="1:5">
      <c r="A52" s="2" t="s">
        <v>5045</v>
      </c>
      <c r="B52" s="3">
        <v>20200472</v>
      </c>
      <c r="C52" s="3" t="s">
        <v>96</v>
      </c>
      <c r="D52" s="2" t="s">
        <v>7</v>
      </c>
      <c r="E52" s="3">
        <v>1</v>
      </c>
    </row>
    <row r="53" spans="1:5">
      <c r="A53" s="2" t="s">
        <v>5045</v>
      </c>
      <c r="B53" s="3">
        <v>20200473</v>
      </c>
      <c r="C53" s="3" t="s">
        <v>96</v>
      </c>
      <c r="D53" s="2" t="s">
        <v>7</v>
      </c>
      <c r="E53" s="3">
        <v>1</v>
      </c>
    </row>
    <row r="54" spans="1:5">
      <c r="A54" s="2" t="s">
        <v>5045</v>
      </c>
      <c r="B54" s="3">
        <v>20200474</v>
      </c>
      <c r="C54" s="3" t="s">
        <v>96</v>
      </c>
      <c r="D54" s="2" t="s">
        <v>7</v>
      </c>
      <c r="E54" s="3">
        <v>1</v>
      </c>
    </row>
    <row r="55" spans="1:5">
      <c r="A55" s="2" t="s">
        <v>5045</v>
      </c>
      <c r="B55" s="3">
        <v>20200475</v>
      </c>
      <c r="C55" s="3" t="s">
        <v>96</v>
      </c>
      <c r="D55" s="2" t="s">
        <v>7</v>
      </c>
      <c r="E55" s="3">
        <v>1</v>
      </c>
    </row>
    <row r="56" spans="1:5">
      <c r="A56" s="2" t="s">
        <v>5045</v>
      </c>
      <c r="B56" s="3">
        <v>20200476</v>
      </c>
      <c r="C56" s="3" t="s">
        <v>96</v>
      </c>
      <c r="D56" s="2" t="s">
        <v>7</v>
      </c>
      <c r="E56" s="3">
        <v>1</v>
      </c>
    </row>
    <row r="57" spans="1:5">
      <c r="A57" s="2" t="s">
        <v>5045</v>
      </c>
      <c r="B57" s="3">
        <v>20200477</v>
      </c>
      <c r="C57" s="3" t="s">
        <v>96</v>
      </c>
      <c r="D57" s="2" t="s">
        <v>7</v>
      </c>
      <c r="E57" s="3">
        <v>1</v>
      </c>
    </row>
    <row r="58" spans="1:5">
      <c r="A58" s="2" t="s">
        <v>5045</v>
      </c>
      <c r="B58" s="3">
        <v>20200478</v>
      </c>
      <c r="C58" s="3" t="s">
        <v>96</v>
      </c>
      <c r="D58" s="2" t="s">
        <v>7</v>
      </c>
      <c r="E58" s="3">
        <v>1</v>
      </c>
    </row>
    <row r="59" spans="1:5">
      <c r="A59" s="2" t="s">
        <v>5045</v>
      </c>
      <c r="B59" s="3">
        <v>20200479</v>
      </c>
      <c r="C59" s="3" t="s">
        <v>96</v>
      </c>
      <c r="D59" s="2" t="s">
        <v>7</v>
      </c>
      <c r="E59" s="3">
        <v>1</v>
      </c>
    </row>
    <row r="60" spans="1:5">
      <c r="A60" s="2" t="s">
        <v>5045</v>
      </c>
      <c r="B60" s="3">
        <v>20200480</v>
      </c>
      <c r="C60" s="3" t="s">
        <v>96</v>
      </c>
      <c r="D60" s="2" t="s">
        <v>7</v>
      </c>
      <c r="E60" s="3">
        <v>1</v>
      </c>
    </row>
    <row r="61" spans="1:5">
      <c r="A61" s="2" t="s">
        <v>5045</v>
      </c>
      <c r="B61" s="3">
        <v>20200481</v>
      </c>
      <c r="C61" s="3" t="s">
        <v>96</v>
      </c>
      <c r="D61" s="2" t="s">
        <v>7</v>
      </c>
      <c r="E61" s="3">
        <v>1</v>
      </c>
    </row>
    <row r="62" spans="1:5">
      <c r="A62" s="2" t="s">
        <v>5045</v>
      </c>
      <c r="B62" s="3">
        <v>20200482</v>
      </c>
      <c r="C62" s="3" t="s">
        <v>96</v>
      </c>
      <c r="D62" s="2" t="s">
        <v>7</v>
      </c>
      <c r="E62" s="3">
        <v>1</v>
      </c>
    </row>
    <row r="63" spans="1:5">
      <c r="A63" s="2" t="s">
        <v>5045</v>
      </c>
      <c r="B63" s="3">
        <v>20200483</v>
      </c>
      <c r="C63" s="3" t="s">
        <v>96</v>
      </c>
      <c r="D63" s="2" t="s">
        <v>7</v>
      </c>
      <c r="E63" s="3">
        <v>1</v>
      </c>
    </row>
    <row r="64" spans="1:5">
      <c r="A64" s="2" t="s">
        <v>5045</v>
      </c>
      <c r="B64" s="3">
        <v>20200484</v>
      </c>
      <c r="C64" s="3" t="s">
        <v>96</v>
      </c>
      <c r="D64" s="2" t="s">
        <v>7</v>
      </c>
      <c r="E64" s="3">
        <v>1</v>
      </c>
    </row>
    <row r="65" spans="1:5">
      <c r="A65" s="2" t="s">
        <v>5045</v>
      </c>
      <c r="B65" s="3">
        <v>20200485</v>
      </c>
      <c r="C65" s="3" t="s">
        <v>96</v>
      </c>
      <c r="D65" s="2" t="s">
        <v>7</v>
      </c>
      <c r="E65" s="3">
        <v>1</v>
      </c>
    </row>
    <row r="66" spans="1:5">
      <c r="A66" s="2" t="s">
        <v>5045</v>
      </c>
      <c r="B66" s="3">
        <v>20200486</v>
      </c>
      <c r="C66" s="3" t="s">
        <v>96</v>
      </c>
      <c r="D66" s="2" t="s">
        <v>7</v>
      </c>
      <c r="E66" s="3">
        <v>1</v>
      </c>
    </row>
    <row r="67" spans="1:5">
      <c r="A67" s="2" t="s">
        <v>5045</v>
      </c>
      <c r="B67" s="3">
        <v>20200487</v>
      </c>
      <c r="C67" s="3" t="s">
        <v>96</v>
      </c>
      <c r="D67" s="2" t="s">
        <v>7</v>
      </c>
      <c r="E67" s="3">
        <v>1</v>
      </c>
    </row>
    <row r="68" spans="1:5">
      <c r="A68" s="2" t="s">
        <v>5045</v>
      </c>
      <c r="B68" s="3">
        <v>20200488</v>
      </c>
      <c r="C68" s="3" t="s">
        <v>96</v>
      </c>
      <c r="D68" s="2" t="s">
        <v>7</v>
      </c>
      <c r="E68" s="3">
        <v>1</v>
      </c>
    </row>
    <row r="69" spans="1:5">
      <c r="A69" s="2" t="s">
        <v>5045</v>
      </c>
      <c r="B69" s="3">
        <v>20200555</v>
      </c>
      <c r="C69" s="3" t="s">
        <v>95</v>
      </c>
      <c r="D69" s="2" t="s">
        <v>7</v>
      </c>
      <c r="E69" s="3">
        <v>1</v>
      </c>
    </row>
    <row r="70" spans="1:5">
      <c r="A70" s="2" t="s">
        <v>5045</v>
      </c>
      <c r="B70" s="3">
        <v>20200556</v>
      </c>
      <c r="C70" s="3" t="s">
        <v>95</v>
      </c>
      <c r="D70" s="2" t="s">
        <v>7</v>
      </c>
      <c r="E70" s="3">
        <v>1</v>
      </c>
    </row>
    <row r="71" spans="1:5">
      <c r="A71" s="2" t="s">
        <v>5045</v>
      </c>
      <c r="B71" s="3">
        <v>20200557</v>
      </c>
      <c r="C71" s="3" t="s">
        <v>95</v>
      </c>
      <c r="D71" s="2" t="s">
        <v>7</v>
      </c>
      <c r="E71" s="3">
        <v>1</v>
      </c>
    </row>
    <row r="72" spans="1:5">
      <c r="A72" s="2" t="s">
        <v>5045</v>
      </c>
      <c r="B72" s="3">
        <v>20201157</v>
      </c>
      <c r="C72" s="3" t="s">
        <v>108</v>
      </c>
      <c r="D72" s="2" t="s">
        <v>7</v>
      </c>
      <c r="E72" s="3">
        <v>1</v>
      </c>
    </row>
    <row r="73" spans="1:5">
      <c r="A73" s="2" t="s">
        <v>5045</v>
      </c>
      <c r="B73" s="3">
        <v>20220343</v>
      </c>
      <c r="C73" s="3" t="s">
        <v>96</v>
      </c>
      <c r="D73" s="2" t="s">
        <v>7</v>
      </c>
      <c r="E73" s="3">
        <v>1</v>
      </c>
    </row>
    <row r="74" spans="1:5">
      <c r="A74" s="2" t="s">
        <v>5045</v>
      </c>
      <c r="B74" s="3">
        <v>20220344</v>
      </c>
      <c r="C74" s="3" t="s">
        <v>96</v>
      </c>
      <c r="D74" s="2" t="s">
        <v>7</v>
      </c>
      <c r="E74" s="3">
        <v>1</v>
      </c>
    </row>
    <row r="75" spans="1:5">
      <c r="A75" s="2" t="s">
        <v>5045</v>
      </c>
      <c r="B75" s="3">
        <v>20220345</v>
      </c>
      <c r="C75" s="3" t="s">
        <v>96</v>
      </c>
      <c r="D75" s="2" t="s">
        <v>7</v>
      </c>
      <c r="E75" s="3">
        <v>1</v>
      </c>
    </row>
    <row r="76" spans="1:5">
      <c r="A76" s="2" t="s">
        <v>5045</v>
      </c>
      <c r="B76" s="3">
        <v>20220346</v>
      </c>
      <c r="C76" s="3" t="s">
        <v>96</v>
      </c>
      <c r="D76" s="2" t="s">
        <v>7</v>
      </c>
      <c r="E76" s="3">
        <v>1</v>
      </c>
    </row>
    <row r="77" spans="1:5">
      <c r="A77" s="2" t="s">
        <v>5045</v>
      </c>
      <c r="B77" s="3">
        <v>20220347</v>
      </c>
      <c r="C77" s="3" t="s">
        <v>96</v>
      </c>
      <c r="D77" s="2" t="s">
        <v>7</v>
      </c>
      <c r="E77" s="3">
        <v>1</v>
      </c>
    </row>
    <row r="78" spans="1:5">
      <c r="A78" s="2" t="s">
        <v>5045</v>
      </c>
      <c r="B78" s="3">
        <v>20220348</v>
      </c>
      <c r="C78" s="3" t="s">
        <v>96</v>
      </c>
      <c r="D78" s="2" t="s">
        <v>7</v>
      </c>
      <c r="E78" s="3">
        <v>1</v>
      </c>
    </row>
    <row r="79" spans="1:5">
      <c r="A79" s="2" t="s">
        <v>5045</v>
      </c>
      <c r="B79" s="3">
        <v>20220819</v>
      </c>
      <c r="C79" s="3" t="s">
        <v>5049</v>
      </c>
      <c r="D79" s="2" t="s">
        <v>7</v>
      </c>
      <c r="E79" s="3">
        <v>1</v>
      </c>
    </row>
    <row r="80" spans="1:5">
      <c r="A80" s="2" t="s">
        <v>5045</v>
      </c>
      <c r="B80" s="3">
        <v>20230042</v>
      </c>
      <c r="C80" s="3" t="s">
        <v>35</v>
      </c>
      <c r="D80" s="2" t="s">
        <v>7</v>
      </c>
      <c r="E80" s="3">
        <v>1</v>
      </c>
    </row>
    <row r="81" spans="1:5">
      <c r="A81" s="2" t="s">
        <v>5045</v>
      </c>
      <c r="B81" s="3">
        <v>20240078</v>
      </c>
      <c r="C81" s="3" t="s">
        <v>4995</v>
      </c>
      <c r="D81" s="2" t="s">
        <v>7</v>
      </c>
      <c r="E81" s="3">
        <v>1</v>
      </c>
    </row>
    <row r="82" spans="1:5">
      <c r="A82" s="2" t="s">
        <v>5045</v>
      </c>
      <c r="B82" s="3">
        <v>20240079</v>
      </c>
      <c r="C82" s="3" t="s">
        <v>4995</v>
      </c>
      <c r="D82" s="2" t="s">
        <v>7</v>
      </c>
      <c r="E82" s="3">
        <v>1</v>
      </c>
    </row>
    <row r="83" spans="1:5">
      <c r="A83" s="2" t="s">
        <v>5045</v>
      </c>
      <c r="B83" s="3">
        <v>20240080</v>
      </c>
      <c r="C83" s="3" t="s">
        <v>4995</v>
      </c>
      <c r="D83" s="2" t="s">
        <v>7</v>
      </c>
      <c r="E83" s="3">
        <v>1</v>
      </c>
    </row>
    <row r="84" spans="1:5">
      <c r="A84" s="2" t="s">
        <v>5045</v>
      </c>
      <c r="B84" s="3">
        <v>20240081</v>
      </c>
      <c r="C84" s="3" t="s">
        <v>4995</v>
      </c>
      <c r="D84" s="2" t="s">
        <v>7</v>
      </c>
      <c r="E84" s="3">
        <v>1</v>
      </c>
    </row>
    <row r="85" spans="1:5">
      <c r="A85" s="2" t="s">
        <v>5045</v>
      </c>
      <c r="B85" s="3">
        <v>20240082</v>
      </c>
      <c r="C85" s="3" t="s">
        <v>4995</v>
      </c>
      <c r="D85" s="2" t="s">
        <v>7</v>
      </c>
      <c r="E85" s="3">
        <v>1</v>
      </c>
    </row>
    <row r="86" spans="1:5">
      <c r="A86" s="2" t="s">
        <v>5045</v>
      </c>
      <c r="B86" s="3">
        <v>20240083</v>
      </c>
      <c r="C86" s="3" t="s">
        <v>4995</v>
      </c>
      <c r="D86" s="2" t="s">
        <v>7</v>
      </c>
      <c r="E86" s="3">
        <v>1</v>
      </c>
    </row>
    <row r="87" spans="1:5">
      <c r="A87" s="2" t="s">
        <v>5045</v>
      </c>
      <c r="B87" s="3">
        <v>20240084</v>
      </c>
      <c r="C87" s="3" t="s">
        <v>4995</v>
      </c>
      <c r="D87" s="2" t="s">
        <v>7</v>
      </c>
      <c r="E87" s="3">
        <v>1</v>
      </c>
    </row>
    <row r="88" spans="1:5">
      <c r="A88" s="2" t="s">
        <v>5045</v>
      </c>
      <c r="B88" s="3">
        <v>20240085</v>
      </c>
      <c r="C88" s="3" t="s">
        <v>4995</v>
      </c>
      <c r="D88" s="2" t="s">
        <v>7</v>
      </c>
      <c r="E88" s="3">
        <v>1</v>
      </c>
    </row>
    <row r="89" spans="1:5">
      <c r="A89" s="2" t="s">
        <v>5045</v>
      </c>
      <c r="B89" s="3">
        <v>20240086</v>
      </c>
      <c r="C89" s="3" t="s">
        <v>4995</v>
      </c>
      <c r="D89" s="2" t="s">
        <v>7</v>
      </c>
      <c r="E89" s="3">
        <v>1</v>
      </c>
    </row>
    <row r="90" spans="1:5">
      <c r="A90" s="2" t="s">
        <v>5045</v>
      </c>
      <c r="B90" s="3">
        <v>20240087</v>
      </c>
      <c r="C90" s="3" t="s">
        <v>4995</v>
      </c>
      <c r="D90" s="2" t="s">
        <v>7</v>
      </c>
      <c r="E90" s="3">
        <v>1</v>
      </c>
    </row>
    <row r="91" spans="1:5">
      <c r="A91" s="2" t="s">
        <v>5045</v>
      </c>
      <c r="B91" s="3">
        <v>20240088</v>
      </c>
      <c r="C91" s="3" t="s">
        <v>4995</v>
      </c>
      <c r="D91" s="2" t="s">
        <v>7</v>
      </c>
      <c r="E91" s="3">
        <v>1</v>
      </c>
    </row>
    <row r="92" spans="1:5">
      <c r="A92" s="2" t="s">
        <v>5045</v>
      </c>
      <c r="B92" s="3">
        <v>20240089</v>
      </c>
      <c r="C92" s="3" t="s">
        <v>4995</v>
      </c>
      <c r="D92" s="2" t="s">
        <v>7</v>
      </c>
      <c r="E92" s="3">
        <v>1</v>
      </c>
    </row>
    <row r="93" spans="1:5">
      <c r="A93" s="2" t="s">
        <v>5045</v>
      </c>
      <c r="B93" s="3">
        <v>20240090</v>
      </c>
      <c r="C93" s="3" t="s">
        <v>4995</v>
      </c>
      <c r="D93" s="2" t="s">
        <v>7</v>
      </c>
      <c r="E93" s="3">
        <v>1</v>
      </c>
    </row>
    <row r="94" spans="1:5">
      <c r="A94" s="2" t="s">
        <v>5045</v>
      </c>
      <c r="B94" s="3">
        <v>20240091</v>
      </c>
      <c r="C94" s="3" t="s">
        <v>4995</v>
      </c>
      <c r="D94" s="2" t="s">
        <v>7</v>
      </c>
      <c r="E94" s="3">
        <v>1</v>
      </c>
    </row>
    <row r="95" spans="1:5">
      <c r="A95" s="2" t="s">
        <v>5045</v>
      </c>
      <c r="B95" s="3">
        <v>20240092</v>
      </c>
      <c r="C95" s="3" t="s">
        <v>4995</v>
      </c>
      <c r="D95" s="2" t="s">
        <v>7</v>
      </c>
      <c r="E95" s="3">
        <v>1</v>
      </c>
    </row>
    <row r="96" spans="1:5">
      <c r="A96" s="2" t="s">
        <v>5045</v>
      </c>
      <c r="B96" s="3">
        <v>20240093</v>
      </c>
      <c r="C96" s="3" t="s">
        <v>4995</v>
      </c>
      <c r="D96" s="2" t="s">
        <v>7</v>
      </c>
      <c r="E96" s="3">
        <v>1</v>
      </c>
    </row>
    <row r="97" spans="1:5">
      <c r="A97" s="2" t="s">
        <v>5045</v>
      </c>
      <c r="B97" s="3">
        <v>20240094</v>
      </c>
      <c r="C97" s="3" t="s">
        <v>4995</v>
      </c>
      <c r="D97" s="2" t="s">
        <v>7</v>
      </c>
      <c r="E97" s="3">
        <v>1</v>
      </c>
    </row>
    <row r="98" spans="1:5">
      <c r="A98" s="2" t="s">
        <v>5045</v>
      </c>
      <c r="B98" s="3">
        <v>20240095</v>
      </c>
      <c r="C98" s="3" t="s">
        <v>4995</v>
      </c>
      <c r="D98" s="2" t="s">
        <v>7</v>
      </c>
      <c r="E98" s="3">
        <v>1</v>
      </c>
    </row>
    <row r="99" spans="1:5">
      <c r="A99" s="2" t="s">
        <v>5045</v>
      </c>
      <c r="B99" s="3">
        <v>20240096</v>
      </c>
      <c r="C99" s="3" t="s">
        <v>4995</v>
      </c>
      <c r="D99" s="2" t="s">
        <v>7</v>
      </c>
      <c r="E99" s="3">
        <v>1</v>
      </c>
    </row>
    <row r="100" spans="1:5">
      <c r="A100" s="2" t="s">
        <v>5045</v>
      </c>
      <c r="B100" s="3">
        <v>20240097</v>
      </c>
      <c r="C100" s="3" t="s">
        <v>4995</v>
      </c>
      <c r="D100" s="2" t="s">
        <v>7</v>
      </c>
      <c r="E100" s="3">
        <v>1</v>
      </c>
    </row>
    <row r="101" spans="1:5">
      <c r="A101" s="2" t="s">
        <v>5045</v>
      </c>
      <c r="B101" s="3">
        <v>20240098</v>
      </c>
      <c r="C101" s="3" t="s">
        <v>4995</v>
      </c>
      <c r="D101" s="2" t="s">
        <v>7</v>
      </c>
      <c r="E101" s="3">
        <v>1</v>
      </c>
    </row>
    <row r="102" spans="1:5">
      <c r="A102" s="2" t="s">
        <v>5045</v>
      </c>
      <c r="B102" s="3">
        <v>20240099</v>
      </c>
      <c r="C102" s="3" t="s">
        <v>4995</v>
      </c>
      <c r="D102" s="2" t="s">
        <v>7</v>
      </c>
      <c r="E102" s="3">
        <v>1</v>
      </c>
    </row>
    <row r="103" spans="1:5">
      <c r="A103" s="2" t="s">
        <v>5045</v>
      </c>
      <c r="B103" s="3">
        <v>20240100</v>
      </c>
      <c r="C103" s="3" t="s">
        <v>4995</v>
      </c>
      <c r="D103" s="2" t="s">
        <v>7</v>
      </c>
      <c r="E103" s="3">
        <v>1</v>
      </c>
    </row>
    <row r="104" spans="1:5">
      <c r="A104" s="2" t="s">
        <v>5045</v>
      </c>
      <c r="B104" s="3">
        <v>20240101</v>
      </c>
      <c r="C104" s="3" t="s">
        <v>4995</v>
      </c>
      <c r="D104" s="2" t="s">
        <v>7</v>
      </c>
      <c r="E104" s="3">
        <v>1</v>
      </c>
    </row>
    <row r="105" spans="1:5">
      <c r="A105" s="2" t="s">
        <v>5045</v>
      </c>
      <c r="B105" s="3">
        <v>20240102</v>
      </c>
      <c r="C105" s="3" t="s">
        <v>4995</v>
      </c>
      <c r="D105" s="2" t="s">
        <v>7</v>
      </c>
      <c r="E105" s="3">
        <v>1</v>
      </c>
    </row>
    <row r="106" spans="1:5">
      <c r="A106" s="2" t="s">
        <v>5045</v>
      </c>
      <c r="B106" s="3">
        <v>20240103</v>
      </c>
      <c r="C106" s="3" t="s">
        <v>4995</v>
      </c>
      <c r="D106" s="2" t="s">
        <v>7</v>
      </c>
      <c r="E106" s="3">
        <v>1</v>
      </c>
    </row>
    <row r="107" spans="1:5">
      <c r="A107" s="2" t="s">
        <v>5045</v>
      </c>
      <c r="B107" s="3">
        <v>20240104</v>
      </c>
      <c r="C107" s="3" t="s">
        <v>4995</v>
      </c>
      <c r="D107" s="2" t="s">
        <v>7</v>
      </c>
      <c r="E107" s="3">
        <v>1</v>
      </c>
    </row>
    <row r="108" spans="1:5">
      <c r="A108" s="2" t="s">
        <v>5045</v>
      </c>
      <c r="B108" s="3">
        <v>20240105</v>
      </c>
      <c r="C108" s="3" t="s">
        <v>4995</v>
      </c>
      <c r="D108" s="2" t="s">
        <v>7</v>
      </c>
      <c r="E108" s="3">
        <v>1</v>
      </c>
    </row>
    <row r="109" spans="1:5">
      <c r="A109" s="2" t="s">
        <v>5045</v>
      </c>
      <c r="B109" s="3">
        <v>20240106</v>
      </c>
      <c r="C109" s="3" t="s">
        <v>4995</v>
      </c>
      <c r="D109" s="2" t="s">
        <v>7</v>
      </c>
      <c r="E109" s="3">
        <v>1</v>
      </c>
    </row>
    <row r="110" spans="1:5">
      <c r="A110" s="2" t="s">
        <v>5045</v>
      </c>
      <c r="B110" s="3">
        <v>20240107</v>
      </c>
      <c r="C110" s="3" t="s">
        <v>4995</v>
      </c>
      <c r="D110" s="2" t="s">
        <v>7</v>
      </c>
      <c r="E110" s="3">
        <v>1</v>
      </c>
    </row>
    <row r="111" spans="1:5">
      <c r="A111" s="2" t="s">
        <v>5045</v>
      </c>
      <c r="B111" s="3">
        <v>20240108</v>
      </c>
      <c r="C111" s="3" t="s">
        <v>4995</v>
      </c>
      <c r="D111" s="2" t="s">
        <v>7</v>
      </c>
      <c r="E111" s="3">
        <v>1</v>
      </c>
    </row>
    <row r="112" spans="1:5">
      <c r="A112" s="2" t="s">
        <v>5045</v>
      </c>
      <c r="B112" s="3">
        <v>20240109</v>
      </c>
      <c r="C112" s="3" t="s">
        <v>4995</v>
      </c>
      <c r="D112" s="2" t="s">
        <v>7</v>
      </c>
      <c r="E112" s="3">
        <v>1</v>
      </c>
    </row>
    <row r="113" spans="1:5">
      <c r="A113" s="2" t="s">
        <v>5045</v>
      </c>
      <c r="B113" s="3">
        <v>20240110</v>
      </c>
      <c r="C113" s="3" t="s">
        <v>4995</v>
      </c>
      <c r="D113" s="2" t="s">
        <v>7</v>
      </c>
      <c r="E113" s="3">
        <v>1</v>
      </c>
    </row>
    <row r="114" spans="1:5">
      <c r="A114" s="2" t="s">
        <v>5045</v>
      </c>
      <c r="B114" s="3">
        <v>20240111</v>
      </c>
      <c r="C114" s="3" t="s">
        <v>4995</v>
      </c>
      <c r="D114" s="2" t="s">
        <v>7</v>
      </c>
      <c r="E114" s="3">
        <v>1</v>
      </c>
    </row>
    <row r="115" spans="1:5">
      <c r="A115" s="2" t="s">
        <v>5045</v>
      </c>
      <c r="B115" s="3">
        <v>20240112</v>
      </c>
      <c r="C115" s="3" t="s">
        <v>4995</v>
      </c>
      <c r="D115" s="2" t="s">
        <v>7</v>
      </c>
      <c r="E115" s="3">
        <v>1</v>
      </c>
    </row>
    <row r="116" spans="1:5">
      <c r="A116" s="2" t="s">
        <v>5045</v>
      </c>
      <c r="B116" s="3">
        <v>20240113</v>
      </c>
      <c r="C116" s="3" t="s">
        <v>4995</v>
      </c>
      <c r="D116" s="2" t="s">
        <v>7</v>
      </c>
      <c r="E116" s="3">
        <v>1</v>
      </c>
    </row>
    <row r="117" spans="1:5">
      <c r="A117" s="2" t="s">
        <v>5045</v>
      </c>
      <c r="B117" s="3">
        <v>20240114</v>
      </c>
      <c r="C117" s="3" t="s">
        <v>4995</v>
      </c>
      <c r="D117" s="2" t="s">
        <v>7</v>
      </c>
      <c r="E117" s="3">
        <v>1</v>
      </c>
    </row>
    <row r="118" spans="1:5">
      <c r="A118" s="2" t="s">
        <v>5045</v>
      </c>
      <c r="B118" s="3">
        <v>20240115</v>
      </c>
      <c r="C118" s="3" t="s">
        <v>4995</v>
      </c>
      <c r="D118" s="2" t="s">
        <v>7</v>
      </c>
      <c r="E118" s="3">
        <v>1</v>
      </c>
    </row>
    <row r="119" spans="1:5">
      <c r="A119" s="2" t="s">
        <v>5045</v>
      </c>
      <c r="B119" s="3">
        <v>20240116</v>
      </c>
      <c r="C119" s="3" t="s">
        <v>4995</v>
      </c>
      <c r="D119" s="2" t="s">
        <v>7</v>
      </c>
      <c r="E119" s="3">
        <v>1</v>
      </c>
    </row>
    <row r="120" spans="1:5">
      <c r="A120" s="2" t="s">
        <v>5045</v>
      </c>
      <c r="B120" s="3">
        <v>20240117</v>
      </c>
      <c r="C120" s="3" t="s">
        <v>4995</v>
      </c>
      <c r="D120" s="2" t="s">
        <v>7</v>
      </c>
      <c r="E120" s="3">
        <v>1</v>
      </c>
    </row>
    <row r="121" spans="1:5">
      <c r="A121" s="2" t="s">
        <v>5045</v>
      </c>
      <c r="B121" s="3">
        <v>20240118</v>
      </c>
      <c r="C121" s="3" t="s">
        <v>4995</v>
      </c>
      <c r="D121" s="2" t="s">
        <v>7</v>
      </c>
      <c r="E121" s="3">
        <v>1</v>
      </c>
    </row>
    <row r="122" spans="1:5">
      <c r="A122" s="2" t="s">
        <v>5045</v>
      </c>
      <c r="B122" s="3">
        <v>20240119</v>
      </c>
      <c r="C122" s="3" t="s">
        <v>4995</v>
      </c>
      <c r="D122" s="2" t="s">
        <v>7</v>
      </c>
      <c r="E122" s="3">
        <v>1</v>
      </c>
    </row>
    <row r="123" spans="1:5">
      <c r="A123" s="2" t="s">
        <v>5045</v>
      </c>
      <c r="B123" s="3">
        <v>20240120</v>
      </c>
      <c r="C123" s="3" t="s">
        <v>4995</v>
      </c>
      <c r="D123" s="2" t="s">
        <v>7</v>
      </c>
      <c r="E123" s="3">
        <v>1</v>
      </c>
    </row>
    <row r="124" spans="1:5">
      <c r="A124" s="2" t="s">
        <v>5045</v>
      </c>
      <c r="B124" s="3">
        <v>20240121</v>
      </c>
      <c r="C124" s="3" t="s">
        <v>4995</v>
      </c>
      <c r="D124" s="2" t="s">
        <v>7</v>
      </c>
      <c r="E124" s="3">
        <v>1</v>
      </c>
    </row>
    <row r="125" spans="1:5">
      <c r="A125" s="2" t="s">
        <v>5045</v>
      </c>
      <c r="B125" s="3">
        <v>20240122</v>
      </c>
      <c r="C125" s="3" t="s">
        <v>4995</v>
      </c>
      <c r="D125" s="2" t="s">
        <v>7</v>
      </c>
      <c r="E125" s="3">
        <v>1</v>
      </c>
    </row>
    <row r="126" spans="1:5">
      <c r="A126" s="2" t="s">
        <v>5045</v>
      </c>
      <c r="B126" s="3">
        <v>20171139</v>
      </c>
      <c r="C126" s="3" t="s">
        <v>96</v>
      </c>
      <c r="D126" s="2" t="s">
        <v>7</v>
      </c>
      <c r="E126" s="3">
        <v>1</v>
      </c>
    </row>
    <row r="127" spans="1:5">
      <c r="A127" s="2" t="s">
        <v>5045</v>
      </c>
      <c r="B127" s="3">
        <v>20171140</v>
      </c>
      <c r="C127" s="3" t="s">
        <v>96</v>
      </c>
      <c r="D127" s="2" t="s">
        <v>7</v>
      </c>
      <c r="E127" s="3">
        <v>1</v>
      </c>
    </row>
    <row r="128" spans="1:5">
      <c r="A128" s="2" t="s">
        <v>5045</v>
      </c>
      <c r="B128" s="3">
        <v>20171141</v>
      </c>
      <c r="C128" s="3" t="s">
        <v>96</v>
      </c>
      <c r="D128" s="2" t="s">
        <v>7</v>
      </c>
      <c r="E128" s="3">
        <v>1</v>
      </c>
    </row>
    <row r="129" spans="1:5">
      <c r="A129" s="2" t="s">
        <v>5045</v>
      </c>
      <c r="B129" s="3">
        <v>20171142</v>
      </c>
      <c r="C129" s="3" t="s">
        <v>96</v>
      </c>
      <c r="D129" s="2" t="s">
        <v>7</v>
      </c>
      <c r="E129" s="3">
        <v>1</v>
      </c>
    </row>
    <row r="130" spans="1:5">
      <c r="A130" s="2" t="s">
        <v>5045</v>
      </c>
      <c r="B130" s="3">
        <v>20171143</v>
      </c>
      <c r="C130" s="3" t="s">
        <v>96</v>
      </c>
      <c r="D130" s="2" t="s">
        <v>7</v>
      </c>
      <c r="E130" s="3">
        <v>1</v>
      </c>
    </row>
    <row r="131" spans="1:5">
      <c r="A131" s="2" t="s">
        <v>5045</v>
      </c>
      <c r="B131" s="3">
        <v>20171144</v>
      </c>
      <c r="C131" s="3" t="s">
        <v>96</v>
      </c>
      <c r="D131" s="2" t="s">
        <v>7</v>
      </c>
      <c r="E131" s="3">
        <v>1</v>
      </c>
    </row>
    <row r="132" spans="1:5">
      <c r="A132" s="2" t="s">
        <v>5045</v>
      </c>
      <c r="B132" s="3">
        <v>20171145</v>
      </c>
      <c r="C132" s="3" t="s">
        <v>96</v>
      </c>
      <c r="D132" s="2" t="s">
        <v>7</v>
      </c>
      <c r="E132" s="3">
        <v>1</v>
      </c>
    </row>
    <row r="133" spans="1:5">
      <c r="A133" s="2" t="s">
        <v>5045</v>
      </c>
      <c r="B133" s="3">
        <v>20171146</v>
      </c>
      <c r="C133" s="3" t="s">
        <v>96</v>
      </c>
      <c r="D133" s="2" t="s">
        <v>7</v>
      </c>
      <c r="E133" s="3">
        <v>1</v>
      </c>
    </row>
    <row r="134" spans="1:5">
      <c r="A134" s="2" t="s">
        <v>5045</v>
      </c>
      <c r="B134" s="3">
        <v>20171147</v>
      </c>
      <c r="C134" s="3" t="s">
        <v>96</v>
      </c>
      <c r="D134" s="2" t="s">
        <v>7</v>
      </c>
      <c r="E134" s="3">
        <v>1</v>
      </c>
    </row>
    <row r="135" spans="1:5">
      <c r="A135" s="2" t="s">
        <v>5045</v>
      </c>
      <c r="B135" s="3">
        <v>20171148</v>
      </c>
      <c r="C135" s="3" t="s">
        <v>96</v>
      </c>
      <c r="D135" s="2" t="s">
        <v>7</v>
      </c>
      <c r="E135" s="3">
        <v>1</v>
      </c>
    </row>
    <row r="136" spans="1:5">
      <c r="A136" s="2" t="s">
        <v>5045</v>
      </c>
      <c r="B136" s="3">
        <v>20171149</v>
      </c>
      <c r="C136" s="3" t="s">
        <v>96</v>
      </c>
      <c r="D136" s="2" t="s">
        <v>7</v>
      </c>
      <c r="E136" s="3">
        <v>1</v>
      </c>
    </row>
    <row r="137" spans="1:5">
      <c r="A137" s="2" t="s">
        <v>5045</v>
      </c>
      <c r="B137" s="3">
        <v>20171150</v>
      </c>
      <c r="C137" s="3" t="s">
        <v>96</v>
      </c>
      <c r="D137" s="2" t="s">
        <v>7</v>
      </c>
      <c r="E137" s="3">
        <v>1</v>
      </c>
    </row>
    <row r="138" spans="1:5">
      <c r="A138" s="2" t="s">
        <v>5045</v>
      </c>
      <c r="B138" s="3">
        <v>20171151</v>
      </c>
      <c r="C138" s="3" t="s">
        <v>96</v>
      </c>
      <c r="D138" s="2" t="s">
        <v>7</v>
      </c>
      <c r="E138" s="3">
        <v>1</v>
      </c>
    </row>
    <row r="139" spans="1:5">
      <c r="A139" s="2" t="s">
        <v>5045</v>
      </c>
      <c r="B139" s="3">
        <v>20171152</v>
      </c>
      <c r="C139" s="3" t="s">
        <v>96</v>
      </c>
      <c r="D139" s="2" t="s">
        <v>7</v>
      </c>
      <c r="E139" s="3">
        <v>1</v>
      </c>
    </row>
    <row r="140" spans="1:5">
      <c r="A140" s="2" t="s">
        <v>5045</v>
      </c>
      <c r="B140" s="3">
        <v>20171153</v>
      </c>
      <c r="C140" s="3" t="s">
        <v>96</v>
      </c>
      <c r="D140" s="2" t="s">
        <v>7</v>
      </c>
      <c r="E140" s="3">
        <v>1</v>
      </c>
    </row>
    <row r="141" spans="1:5">
      <c r="A141" s="2" t="s">
        <v>5045</v>
      </c>
      <c r="B141" s="3">
        <v>20171154</v>
      </c>
      <c r="C141" s="3" t="s">
        <v>96</v>
      </c>
      <c r="D141" s="2" t="s">
        <v>7</v>
      </c>
      <c r="E141" s="3">
        <v>1</v>
      </c>
    </row>
    <row r="142" spans="1:5">
      <c r="A142" s="2" t="s">
        <v>5045</v>
      </c>
      <c r="B142" s="3">
        <v>20171155</v>
      </c>
      <c r="C142" s="3" t="s">
        <v>96</v>
      </c>
      <c r="D142" s="2" t="s">
        <v>7</v>
      </c>
      <c r="E142" s="3">
        <v>1</v>
      </c>
    </row>
    <row r="143" spans="1:5">
      <c r="A143" s="2" t="s">
        <v>5045</v>
      </c>
      <c r="B143" s="3">
        <v>20171156</v>
      </c>
      <c r="C143" s="3" t="s">
        <v>96</v>
      </c>
      <c r="D143" s="2" t="s">
        <v>7</v>
      </c>
      <c r="E143" s="3">
        <v>1</v>
      </c>
    </row>
    <row r="144" spans="1:5">
      <c r="A144" s="2" t="s">
        <v>5045</v>
      </c>
      <c r="B144" s="3">
        <v>20171157</v>
      </c>
      <c r="C144" s="3" t="s">
        <v>96</v>
      </c>
      <c r="D144" s="2" t="s">
        <v>7</v>
      </c>
      <c r="E144" s="3">
        <v>1</v>
      </c>
    </row>
    <row r="145" spans="1:5">
      <c r="A145" s="2" t="s">
        <v>5045</v>
      </c>
      <c r="B145" s="3">
        <v>20171158</v>
      </c>
      <c r="C145" s="3" t="s">
        <v>96</v>
      </c>
      <c r="D145" s="2" t="s">
        <v>7</v>
      </c>
      <c r="E145" s="3">
        <v>1</v>
      </c>
    </row>
    <row r="146" spans="1:5">
      <c r="A146" s="2" t="s">
        <v>5045</v>
      </c>
      <c r="B146" s="3">
        <v>20171159</v>
      </c>
      <c r="C146" s="3" t="s">
        <v>96</v>
      </c>
      <c r="D146" s="2" t="s">
        <v>7</v>
      </c>
      <c r="E146" s="3">
        <v>1</v>
      </c>
    </row>
    <row r="147" spans="1:5">
      <c r="A147" s="2" t="s">
        <v>5045</v>
      </c>
      <c r="B147" s="3">
        <v>20171160</v>
      </c>
      <c r="C147" s="3" t="s">
        <v>96</v>
      </c>
      <c r="D147" s="2" t="s">
        <v>7</v>
      </c>
      <c r="E147" s="3">
        <v>1</v>
      </c>
    </row>
    <row r="148" spans="1:5">
      <c r="A148" s="2" t="s">
        <v>5045</v>
      </c>
      <c r="B148" s="3">
        <v>20171161</v>
      </c>
      <c r="C148" s="3" t="s">
        <v>96</v>
      </c>
      <c r="D148" s="2" t="s">
        <v>7</v>
      </c>
      <c r="E148" s="3">
        <v>1</v>
      </c>
    </row>
    <row r="149" spans="1:5">
      <c r="A149" s="2" t="s">
        <v>5045</v>
      </c>
      <c r="B149" s="3">
        <v>20171162</v>
      </c>
      <c r="C149" s="3" t="s">
        <v>96</v>
      </c>
      <c r="D149" s="2" t="s">
        <v>7</v>
      </c>
      <c r="E149" s="3">
        <v>1</v>
      </c>
    </row>
    <row r="150" spans="1:5">
      <c r="A150" s="2" t="s">
        <v>5045</v>
      </c>
      <c r="B150" s="3">
        <v>20171163</v>
      </c>
      <c r="C150" s="3" t="s">
        <v>96</v>
      </c>
      <c r="D150" s="2" t="s">
        <v>7</v>
      </c>
      <c r="E150" s="3">
        <v>1</v>
      </c>
    </row>
    <row r="151" spans="1:5">
      <c r="A151" s="2" t="s">
        <v>5045</v>
      </c>
      <c r="B151" s="3">
        <v>20171164</v>
      </c>
      <c r="C151" s="3" t="s">
        <v>96</v>
      </c>
      <c r="D151" s="2" t="s">
        <v>7</v>
      </c>
      <c r="E151" s="3">
        <v>1</v>
      </c>
    </row>
    <row r="152" spans="1:5">
      <c r="A152" s="2" t="s">
        <v>5045</v>
      </c>
      <c r="B152" s="3">
        <v>20171165</v>
      </c>
      <c r="C152" s="3" t="s">
        <v>96</v>
      </c>
      <c r="D152" s="2" t="s">
        <v>7</v>
      </c>
      <c r="E152" s="3">
        <v>1</v>
      </c>
    </row>
    <row r="153" spans="1:5">
      <c r="A153" s="2" t="s">
        <v>5045</v>
      </c>
      <c r="B153" s="3">
        <v>20171166</v>
      </c>
      <c r="C153" s="3" t="s">
        <v>96</v>
      </c>
      <c r="D153" s="2" t="s">
        <v>7</v>
      </c>
      <c r="E153" s="3">
        <v>1</v>
      </c>
    </row>
    <row r="154" spans="1:5">
      <c r="A154" s="2" t="s">
        <v>5045</v>
      </c>
      <c r="B154" s="3">
        <v>20171167</v>
      </c>
      <c r="C154" s="3" t="s">
        <v>96</v>
      </c>
      <c r="D154" s="2" t="s">
        <v>7</v>
      </c>
      <c r="E154" s="3">
        <v>1</v>
      </c>
    </row>
    <row r="155" spans="1:5">
      <c r="A155" s="2" t="s">
        <v>5045</v>
      </c>
      <c r="B155" s="3">
        <v>20171168</v>
      </c>
      <c r="C155" s="3" t="s">
        <v>96</v>
      </c>
      <c r="D155" s="2" t="s">
        <v>7</v>
      </c>
      <c r="E155" s="3">
        <v>1</v>
      </c>
    </row>
    <row r="156" spans="1:5">
      <c r="A156" s="2" t="s">
        <v>5045</v>
      </c>
      <c r="B156" s="3">
        <v>20171169</v>
      </c>
      <c r="C156" s="3" t="s">
        <v>96</v>
      </c>
      <c r="D156" s="2" t="s">
        <v>7</v>
      </c>
      <c r="E156" s="3">
        <v>1</v>
      </c>
    </row>
    <row r="157" spans="1:5">
      <c r="A157" s="2" t="s">
        <v>5045</v>
      </c>
      <c r="B157" s="3">
        <v>20171170</v>
      </c>
      <c r="C157" s="3" t="s">
        <v>96</v>
      </c>
      <c r="D157" s="2" t="s">
        <v>7</v>
      </c>
      <c r="E157" s="3">
        <v>1</v>
      </c>
    </row>
    <row r="158" spans="1:5">
      <c r="A158" s="2" t="s">
        <v>5045</v>
      </c>
      <c r="B158" s="3">
        <v>20171171</v>
      </c>
      <c r="C158" s="3" t="s">
        <v>96</v>
      </c>
      <c r="D158" s="2" t="s">
        <v>7</v>
      </c>
      <c r="E158" s="3">
        <v>1</v>
      </c>
    </row>
    <row r="159" spans="1:5">
      <c r="A159" s="2" t="s">
        <v>5045</v>
      </c>
      <c r="B159" s="3">
        <v>20171172</v>
      </c>
      <c r="C159" s="3" t="s">
        <v>96</v>
      </c>
      <c r="D159" s="2" t="s">
        <v>7</v>
      </c>
      <c r="E159" s="3">
        <v>1</v>
      </c>
    </row>
    <row r="160" spans="1:5">
      <c r="A160" s="2" t="s">
        <v>5045</v>
      </c>
      <c r="B160" s="3">
        <v>20171173</v>
      </c>
      <c r="C160" s="3" t="s">
        <v>96</v>
      </c>
      <c r="D160" s="2" t="s">
        <v>7</v>
      </c>
      <c r="E160" s="3">
        <v>1</v>
      </c>
    </row>
    <row r="161" spans="1:5">
      <c r="A161" s="2" t="s">
        <v>5045</v>
      </c>
      <c r="B161" s="3">
        <v>20171174</v>
      </c>
      <c r="C161" s="3" t="s">
        <v>96</v>
      </c>
      <c r="D161" s="2" t="s">
        <v>7</v>
      </c>
      <c r="E161" s="3">
        <v>1</v>
      </c>
    </row>
    <row r="162" spans="1:5">
      <c r="A162" s="2" t="s">
        <v>5045</v>
      </c>
      <c r="B162" s="3">
        <v>20171175</v>
      </c>
      <c r="C162" s="3" t="s">
        <v>96</v>
      </c>
      <c r="D162" s="2" t="s">
        <v>7</v>
      </c>
      <c r="E162" s="3">
        <v>1</v>
      </c>
    </row>
    <row r="163" spans="1:5">
      <c r="A163" s="2" t="s">
        <v>5045</v>
      </c>
      <c r="B163" s="3">
        <v>20171176</v>
      </c>
      <c r="C163" s="3" t="s">
        <v>96</v>
      </c>
      <c r="D163" s="2" t="s">
        <v>7</v>
      </c>
      <c r="E163" s="3">
        <v>1</v>
      </c>
    </row>
    <row r="164" spans="1:5">
      <c r="A164" s="2" t="s">
        <v>5045</v>
      </c>
      <c r="B164" s="3">
        <v>20171177</v>
      </c>
      <c r="C164" s="3" t="s">
        <v>96</v>
      </c>
      <c r="D164" s="2" t="s">
        <v>7</v>
      </c>
      <c r="E164" s="3">
        <v>1</v>
      </c>
    </row>
    <row r="165" spans="1:5">
      <c r="A165" s="2" t="s">
        <v>5045</v>
      </c>
      <c r="B165" s="3">
        <v>20171178</v>
      </c>
      <c r="C165" s="3" t="s">
        <v>96</v>
      </c>
      <c r="D165" s="2" t="s">
        <v>7</v>
      </c>
      <c r="E165" s="3">
        <v>1</v>
      </c>
    </row>
    <row r="166" spans="1:5">
      <c r="A166" s="2" t="s">
        <v>5045</v>
      </c>
      <c r="B166" s="3">
        <v>20171179</v>
      </c>
      <c r="C166" s="3" t="s">
        <v>96</v>
      </c>
      <c r="D166" s="2" t="s">
        <v>7</v>
      </c>
      <c r="E166" s="3">
        <v>1</v>
      </c>
    </row>
    <row r="167" spans="1:5">
      <c r="A167" s="2" t="s">
        <v>5045</v>
      </c>
      <c r="B167" s="3">
        <v>20171180</v>
      </c>
      <c r="C167" s="3" t="s">
        <v>96</v>
      </c>
      <c r="D167" s="2" t="s">
        <v>7</v>
      </c>
      <c r="E167" s="3">
        <v>1</v>
      </c>
    </row>
    <row r="168" spans="1:5">
      <c r="A168" s="2" t="s">
        <v>5045</v>
      </c>
      <c r="B168" s="3">
        <v>20220188</v>
      </c>
      <c r="C168" s="3" t="s">
        <v>96</v>
      </c>
      <c r="D168" s="2" t="s">
        <v>7</v>
      </c>
      <c r="E168" s="3">
        <v>1</v>
      </c>
    </row>
    <row r="169" spans="1:5">
      <c r="A169" s="2" t="s">
        <v>5045</v>
      </c>
      <c r="B169" s="3">
        <v>20220189</v>
      </c>
      <c r="C169" s="3" t="s">
        <v>96</v>
      </c>
      <c r="D169" s="2" t="s">
        <v>7</v>
      </c>
      <c r="E169" s="3">
        <v>1</v>
      </c>
    </row>
    <row r="170" spans="1:5">
      <c r="A170" s="2" t="s">
        <v>5045</v>
      </c>
      <c r="B170" s="3">
        <v>20220190</v>
      </c>
      <c r="C170" s="3" t="s">
        <v>96</v>
      </c>
      <c r="D170" s="2" t="s">
        <v>7</v>
      </c>
      <c r="E170" s="3">
        <v>1</v>
      </c>
    </row>
    <row r="171" spans="1:5">
      <c r="A171" s="2" t="s">
        <v>5045</v>
      </c>
      <c r="B171" s="3">
        <v>20220191</v>
      </c>
      <c r="C171" s="3" t="s">
        <v>96</v>
      </c>
      <c r="D171" s="2" t="s">
        <v>7</v>
      </c>
      <c r="E171" s="3">
        <v>1</v>
      </c>
    </row>
    <row r="172" spans="1:5">
      <c r="A172" s="2" t="s">
        <v>5045</v>
      </c>
      <c r="B172" s="3">
        <v>20220192</v>
      </c>
      <c r="C172" s="3" t="s">
        <v>96</v>
      </c>
      <c r="D172" s="2" t="s">
        <v>7</v>
      </c>
      <c r="E172" s="3">
        <v>1</v>
      </c>
    </row>
    <row r="173" spans="1:5">
      <c r="A173" s="2" t="s">
        <v>5045</v>
      </c>
      <c r="B173" s="3">
        <v>20220193</v>
      </c>
      <c r="C173" s="3" t="s">
        <v>96</v>
      </c>
      <c r="D173" s="2" t="s">
        <v>7</v>
      </c>
      <c r="E173" s="3">
        <v>1</v>
      </c>
    </row>
    <row r="174" spans="1:5">
      <c r="A174" s="2" t="s">
        <v>5045</v>
      </c>
      <c r="B174" s="3">
        <v>20220194</v>
      </c>
      <c r="C174" s="3" t="s">
        <v>96</v>
      </c>
      <c r="D174" s="2" t="s">
        <v>7</v>
      </c>
      <c r="E174" s="3">
        <v>1</v>
      </c>
    </row>
    <row r="175" spans="1:5">
      <c r="A175" s="2" t="s">
        <v>5045</v>
      </c>
      <c r="B175" s="3">
        <v>20220195</v>
      </c>
      <c r="C175" s="3" t="s">
        <v>96</v>
      </c>
      <c r="D175" s="2" t="s">
        <v>7</v>
      </c>
      <c r="E175" s="3">
        <v>1</v>
      </c>
    </row>
    <row r="176" spans="1:5">
      <c r="A176" s="2" t="s">
        <v>5045</v>
      </c>
      <c r="B176" s="3">
        <v>20220196</v>
      </c>
      <c r="C176" s="3" t="s">
        <v>96</v>
      </c>
      <c r="D176" s="2" t="s">
        <v>7</v>
      </c>
      <c r="E176" s="3">
        <v>1</v>
      </c>
    </row>
    <row r="177" spans="1:5">
      <c r="A177" s="2" t="s">
        <v>5045</v>
      </c>
      <c r="B177" s="3">
        <v>20220199</v>
      </c>
      <c r="C177" s="3" t="s">
        <v>96</v>
      </c>
      <c r="D177" s="2" t="s">
        <v>7</v>
      </c>
      <c r="E177" s="3">
        <v>1</v>
      </c>
    </row>
    <row r="178" spans="1:5">
      <c r="A178" s="2" t="s">
        <v>5045</v>
      </c>
      <c r="B178" s="3">
        <v>20220200</v>
      </c>
      <c r="C178" s="3" t="s">
        <v>96</v>
      </c>
      <c r="D178" s="2" t="s">
        <v>7</v>
      </c>
      <c r="E178" s="3">
        <v>1</v>
      </c>
    </row>
    <row r="179" spans="1:5">
      <c r="A179" s="2" t="s">
        <v>5045</v>
      </c>
      <c r="B179" s="3">
        <v>20220201</v>
      </c>
      <c r="C179" s="3" t="s">
        <v>96</v>
      </c>
      <c r="D179" s="2" t="s">
        <v>7</v>
      </c>
      <c r="E179" s="3">
        <v>1</v>
      </c>
    </row>
    <row r="180" spans="1:5">
      <c r="A180" s="2" t="s">
        <v>5045</v>
      </c>
      <c r="B180" s="3">
        <v>20220202</v>
      </c>
      <c r="C180" s="3" t="s">
        <v>96</v>
      </c>
      <c r="D180" s="2" t="s">
        <v>7</v>
      </c>
      <c r="E180" s="3">
        <v>1</v>
      </c>
    </row>
    <row r="181" spans="1:5">
      <c r="A181" s="2" t="s">
        <v>5045</v>
      </c>
      <c r="B181" s="3">
        <v>20220203</v>
      </c>
      <c r="C181" s="3" t="s">
        <v>96</v>
      </c>
      <c r="D181" s="2" t="s">
        <v>7</v>
      </c>
      <c r="E181" s="3">
        <v>1</v>
      </c>
    </row>
    <row r="182" spans="1:5">
      <c r="A182" s="2" t="s">
        <v>5045</v>
      </c>
      <c r="B182" s="3">
        <v>20220204</v>
      </c>
      <c r="C182" s="3" t="s">
        <v>96</v>
      </c>
      <c r="D182" s="2" t="s">
        <v>7</v>
      </c>
      <c r="E182" s="3">
        <v>1</v>
      </c>
    </row>
    <row r="183" spans="1:5">
      <c r="A183" s="2" t="s">
        <v>5045</v>
      </c>
      <c r="B183" s="3">
        <v>20140818</v>
      </c>
      <c r="C183" s="3" t="s">
        <v>96</v>
      </c>
      <c r="D183" s="2" t="s">
        <v>7</v>
      </c>
      <c r="E183" s="3">
        <v>1</v>
      </c>
    </row>
    <row r="184" spans="1:5">
      <c r="A184" s="2" t="s">
        <v>5045</v>
      </c>
      <c r="B184" s="3">
        <v>20140819</v>
      </c>
      <c r="C184" s="3" t="s">
        <v>96</v>
      </c>
      <c r="D184" s="2" t="s">
        <v>7</v>
      </c>
      <c r="E184" s="3">
        <v>1</v>
      </c>
    </row>
    <row r="185" spans="1:5">
      <c r="A185" s="2" t="s">
        <v>5045</v>
      </c>
      <c r="B185" s="3">
        <v>20140820</v>
      </c>
      <c r="C185" s="3" t="s">
        <v>96</v>
      </c>
      <c r="D185" s="2" t="s">
        <v>7</v>
      </c>
      <c r="E185" s="3">
        <v>1</v>
      </c>
    </row>
    <row r="186" spans="1:5">
      <c r="A186" s="2" t="s">
        <v>5045</v>
      </c>
      <c r="B186" s="3">
        <v>20140821</v>
      </c>
      <c r="C186" s="3" t="s">
        <v>96</v>
      </c>
      <c r="D186" s="2" t="s">
        <v>7</v>
      </c>
      <c r="E186" s="3">
        <v>1</v>
      </c>
    </row>
    <row r="187" spans="1:5">
      <c r="A187" s="2" t="s">
        <v>5045</v>
      </c>
      <c r="B187" s="3">
        <v>20140822</v>
      </c>
      <c r="C187" s="3" t="s">
        <v>96</v>
      </c>
      <c r="D187" s="2" t="s">
        <v>7</v>
      </c>
      <c r="E187" s="3">
        <v>1</v>
      </c>
    </row>
    <row r="188" spans="1:5">
      <c r="A188" s="2" t="s">
        <v>5045</v>
      </c>
      <c r="B188" s="3">
        <v>20140823</v>
      </c>
      <c r="C188" s="3" t="s">
        <v>96</v>
      </c>
      <c r="D188" s="2" t="s">
        <v>7</v>
      </c>
      <c r="E188" s="3">
        <v>1</v>
      </c>
    </row>
    <row r="189" spans="1:5">
      <c r="A189" s="2" t="s">
        <v>5045</v>
      </c>
      <c r="B189" s="3">
        <v>20140824</v>
      </c>
      <c r="C189" s="3" t="s">
        <v>96</v>
      </c>
      <c r="D189" s="2" t="s">
        <v>7</v>
      </c>
      <c r="E189" s="3">
        <v>1</v>
      </c>
    </row>
    <row r="190" spans="1:5">
      <c r="A190" s="2" t="s">
        <v>5045</v>
      </c>
      <c r="B190" s="3">
        <v>20140825</v>
      </c>
      <c r="C190" s="3" t="s">
        <v>96</v>
      </c>
      <c r="D190" s="2" t="s">
        <v>7</v>
      </c>
      <c r="E190" s="3">
        <v>1</v>
      </c>
    </row>
    <row r="191" spans="1:5">
      <c r="A191" s="2" t="s">
        <v>5045</v>
      </c>
      <c r="B191" s="3">
        <v>20140826</v>
      </c>
      <c r="C191" s="3" t="s">
        <v>96</v>
      </c>
      <c r="D191" s="2" t="s">
        <v>7</v>
      </c>
      <c r="E191" s="3">
        <v>1</v>
      </c>
    </row>
    <row r="192" spans="1:5">
      <c r="A192" s="2" t="s">
        <v>5045</v>
      </c>
      <c r="B192" s="3">
        <v>20140827</v>
      </c>
      <c r="C192" s="3" t="s">
        <v>96</v>
      </c>
      <c r="D192" s="2" t="s">
        <v>7</v>
      </c>
      <c r="E192" s="3">
        <v>1</v>
      </c>
    </row>
    <row r="193" spans="1:5">
      <c r="A193" s="2" t="s">
        <v>5045</v>
      </c>
      <c r="B193" s="3">
        <v>20140828</v>
      </c>
      <c r="C193" s="3" t="s">
        <v>96</v>
      </c>
      <c r="D193" s="2" t="s">
        <v>7</v>
      </c>
      <c r="E193" s="3">
        <v>1</v>
      </c>
    </row>
    <row r="194" spans="1:5">
      <c r="A194" s="2" t="s">
        <v>5045</v>
      </c>
      <c r="B194" s="3">
        <v>20140829</v>
      </c>
      <c r="C194" s="3" t="s">
        <v>96</v>
      </c>
      <c r="D194" s="2" t="s">
        <v>7</v>
      </c>
      <c r="E194" s="3">
        <v>1</v>
      </c>
    </row>
    <row r="195" spans="1:5">
      <c r="A195" s="2" t="s">
        <v>5045</v>
      </c>
      <c r="B195" s="3">
        <v>20140830</v>
      </c>
      <c r="C195" s="3" t="s">
        <v>96</v>
      </c>
      <c r="D195" s="2" t="s">
        <v>7</v>
      </c>
      <c r="E195" s="3">
        <v>1</v>
      </c>
    </row>
    <row r="196" spans="1:5">
      <c r="A196" s="2" t="s">
        <v>5045</v>
      </c>
      <c r="B196" s="3">
        <v>20140831</v>
      </c>
      <c r="C196" s="3" t="s">
        <v>96</v>
      </c>
      <c r="D196" s="2" t="s">
        <v>7</v>
      </c>
      <c r="E196" s="3">
        <v>1</v>
      </c>
    </row>
    <row r="197" spans="1:5">
      <c r="A197" s="2" t="s">
        <v>5045</v>
      </c>
      <c r="B197" s="3">
        <v>20140832</v>
      </c>
      <c r="C197" s="3" t="s">
        <v>96</v>
      </c>
      <c r="D197" s="2" t="s">
        <v>7</v>
      </c>
      <c r="E197" s="3">
        <v>1</v>
      </c>
    </row>
    <row r="198" spans="1:5">
      <c r="A198" s="2" t="s">
        <v>5045</v>
      </c>
      <c r="B198" s="3">
        <v>20140833</v>
      </c>
      <c r="C198" s="3" t="s">
        <v>96</v>
      </c>
      <c r="D198" s="2" t="s">
        <v>7</v>
      </c>
      <c r="E198" s="3">
        <v>1</v>
      </c>
    </row>
    <row r="199" spans="1:5">
      <c r="A199" s="2" t="s">
        <v>5045</v>
      </c>
      <c r="B199" s="3">
        <v>20140834</v>
      </c>
      <c r="C199" s="3" t="s">
        <v>96</v>
      </c>
      <c r="D199" s="2" t="s">
        <v>7</v>
      </c>
      <c r="E199" s="3">
        <v>1</v>
      </c>
    </row>
    <row r="200" spans="1:5">
      <c r="A200" s="2" t="s">
        <v>5045</v>
      </c>
      <c r="B200" s="3">
        <v>20140835</v>
      </c>
      <c r="C200" s="3" t="s">
        <v>96</v>
      </c>
      <c r="D200" s="2" t="s">
        <v>7</v>
      </c>
      <c r="E200" s="3">
        <v>1</v>
      </c>
    </row>
    <row r="201" spans="1:5">
      <c r="A201" s="2" t="s">
        <v>5045</v>
      </c>
      <c r="B201" s="3">
        <v>20140836</v>
      </c>
      <c r="C201" s="3" t="s">
        <v>96</v>
      </c>
      <c r="D201" s="2" t="s">
        <v>7</v>
      </c>
      <c r="E201" s="3">
        <v>1</v>
      </c>
    </row>
    <row r="202" spans="1:5">
      <c r="A202" s="2" t="s">
        <v>5045</v>
      </c>
      <c r="B202" s="3">
        <v>20140837</v>
      </c>
      <c r="C202" s="3" t="s">
        <v>96</v>
      </c>
      <c r="D202" s="2" t="s">
        <v>7</v>
      </c>
      <c r="E202" s="3">
        <v>1</v>
      </c>
    </row>
    <row r="203" spans="1:5">
      <c r="A203" s="2" t="s">
        <v>5045</v>
      </c>
      <c r="B203" s="3">
        <v>20140838</v>
      </c>
      <c r="C203" s="3" t="s">
        <v>96</v>
      </c>
      <c r="D203" s="2" t="s">
        <v>7</v>
      </c>
      <c r="E203" s="3">
        <v>1</v>
      </c>
    </row>
    <row r="204" spans="1:5">
      <c r="A204" s="2" t="s">
        <v>5045</v>
      </c>
      <c r="B204" s="3">
        <v>20140839</v>
      </c>
      <c r="C204" s="3" t="s">
        <v>96</v>
      </c>
      <c r="D204" s="2" t="s">
        <v>7</v>
      </c>
      <c r="E204" s="3">
        <v>1</v>
      </c>
    </row>
    <row r="205" spans="1:5">
      <c r="A205" s="2" t="s">
        <v>5045</v>
      </c>
      <c r="B205" s="3">
        <v>20140840</v>
      </c>
      <c r="C205" s="3" t="s">
        <v>96</v>
      </c>
      <c r="D205" s="2" t="s">
        <v>7</v>
      </c>
      <c r="E205" s="3">
        <v>1</v>
      </c>
    </row>
    <row r="206" spans="1:5">
      <c r="A206" s="2" t="s">
        <v>5045</v>
      </c>
      <c r="B206" s="3">
        <v>20140841</v>
      </c>
      <c r="C206" s="3" t="s">
        <v>96</v>
      </c>
      <c r="D206" s="2" t="s">
        <v>7</v>
      </c>
      <c r="E206" s="3">
        <v>1</v>
      </c>
    </row>
    <row r="207" spans="1:5">
      <c r="A207" s="2" t="s">
        <v>5045</v>
      </c>
      <c r="B207" s="3">
        <v>20140842</v>
      </c>
      <c r="C207" s="3" t="s">
        <v>96</v>
      </c>
      <c r="D207" s="2" t="s">
        <v>7</v>
      </c>
      <c r="E207" s="3">
        <v>1</v>
      </c>
    </row>
    <row r="208" spans="1:5">
      <c r="A208" s="2" t="s">
        <v>5045</v>
      </c>
      <c r="B208" s="3">
        <v>20140843</v>
      </c>
      <c r="C208" s="3" t="s">
        <v>96</v>
      </c>
      <c r="D208" s="2" t="s">
        <v>7</v>
      </c>
      <c r="E208" s="3">
        <v>1</v>
      </c>
    </row>
    <row r="209" spans="1:5">
      <c r="A209" s="2" t="s">
        <v>5045</v>
      </c>
      <c r="B209" s="3">
        <v>20140844</v>
      </c>
      <c r="C209" s="3" t="s">
        <v>96</v>
      </c>
      <c r="D209" s="2" t="s">
        <v>7</v>
      </c>
      <c r="E209" s="3">
        <v>1</v>
      </c>
    </row>
    <row r="210" spans="1:5">
      <c r="A210" s="2" t="s">
        <v>5045</v>
      </c>
      <c r="B210" s="3">
        <v>20140845</v>
      </c>
      <c r="C210" s="3" t="s">
        <v>96</v>
      </c>
      <c r="D210" s="2" t="s">
        <v>7</v>
      </c>
      <c r="E210" s="3">
        <v>1</v>
      </c>
    </row>
    <row r="211" spans="1:5">
      <c r="A211" s="2" t="s">
        <v>5045</v>
      </c>
      <c r="B211" s="3">
        <v>20140846</v>
      </c>
      <c r="C211" s="3" t="s">
        <v>96</v>
      </c>
      <c r="D211" s="2" t="s">
        <v>7</v>
      </c>
      <c r="E211" s="3">
        <v>1</v>
      </c>
    </row>
    <row r="212" spans="1:5">
      <c r="A212" s="2" t="s">
        <v>5045</v>
      </c>
      <c r="B212" s="3">
        <v>20140847</v>
      </c>
      <c r="C212" s="3" t="s">
        <v>96</v>
      </c>
      <c r="D212" s="2" t="s">
        <v>7</v>
      </c>
      <c r="E212" s="3">
        <v>1</v>
      </c>
    </row>
    <row r="213" spans="1:5">
      <c r="A213" s="2" t="s">
        <v>5045</v>
      </c>
      <c r="B213" s="3">
        <v>20140848</v>
      </c>
      <c r="C213" s="3" t="s">
        <v>96</v>
      </c>
      <c r="D213" s="2" t="s">
        <v>7</v>
      </c>
      <c r="E213" s="3">
        <v>1</v>
      </c>
    </row>
    <row r="214" spans="1:5">
      <c r="A214" s="2" t="s">
        <v>5045</v>
      </c>
      <c r="B214" s="3">
        <v>20140849</v>
      </c>
      <c r="C214" s="3" t="s">
        <v>96</v>
      </c>
      <c r="D214" s="2" t="s">
        <v>7</v>
      </c>
      <c r="E214" s="3">
        <v>1</v>
      </c>
    </row>
    <row r="215" spans="1:5">
      <c r="A215" s="2" t="s">
        <v>5045</v>
      </c>
      <c r="B215" s="3">
        <v>20140850</v>
      </c>
      <c r="C215" s="3" t="s">
        <v>96</v>
      </c>
      <c r="D215" s="2" t="s">
        <v>7</v>
      </c>
      <c r="E215" s="3">
        <v>1</v>
      </c>
    </row>
    <row r="216" spans="1:5">
      <c r="A216" s="2" t="s">
        <v>5045</v>
      </c>
      <c r="B216" s="3">
        <v>20140851</v>
      </c>
      <c r="C216" s="3" t="s">
        <v>96</v>
      </c>
      <c r="D216" s="2" t="s">
        <v>7</v>
      </c>
      <c r="E216" s="3">
        <v>1</v>
      </c>
    </row>
    <row r="217" spans="1:5">
      <c r="A217" s="2" t="s">
        <v>5045</v>
      </c>
      <c r="B217" s="3">
        <v>20140852</v>
      </c>
      <c r="C217" s="3" t="s">
        <v>96</v>
      </c>
      <c r="D217" s="2" t="s">
        <v>7</v>
      </c>
      <c r="E217" s="3">
        <v>1</v>
      </c>
    </row>
    <row r="218" spans="1:5">
      <c r="A218" s="2" t="s">
        <v>5045</v>
      </c>
      <c r="B218" s="3">
        <v>20140853</v>
      </c>
      <c r="C218" s="3" t="s">
        <v>96</v>
      </c>
      <c r="D218" s="2" t="s">
        <v>7</v>
      </c>
      <c r="E218" s="3">
        <v>1</v>
      </c>
    </row>
    <row r="219" spans="1:5">
      <c r="A219" s="2" t="s">
        <v>5045</v>
      </c>
      <c r="B219" s="3">
        <v>20140854</v>
      </c>
      <c r="C219" s="3" t="s">
        <v>96</v>
      </c>
      <c r="D219" s="2" t="s">
        <v>7</v>
      </c>
      <c r="E219" s="3">
        <v>1</v>
      </c>
    </row>
    <row r="220" spans="1:5">
      <c r="A220" s="2" t="s">
        <v>5045</v>
      </c>
      <c r="B220" s="3">
        <v>20140855</v>
      </c>
      <c r="C220" s="3" t="s">
        <v>96</v>
      </c>
      <c r="D220" s="2" t="s">
        <v>7</v>
      </c>
      <c r="E220" s="3">
        <v>1</v>
      </c>
    </row>
    <row r="221" spans="1:5">
      <c r="A221" s="2" t="s">
        <v>5045</v>
      </c>
      <c r="B221" s="3">
        <v>20140856</v>
      </c>
      <c r="C221" s="3" t="s">
        <v>96</v>
      </c>
      <c r="D221" s="2" t="s">
        <v>7</v>
      </c>
      <c r="E221" s="3">
        <v>1</v>
      </c>
    </row>
    <row r="222" spans="1:5">
      <c r="A222" s="2" t="s">
        <v>5045</v>
      </c>
      <c r="B222" s="3">
        <v>20140857</v>
      </c>
      <c r="C222" s="3" t="s">
        <v>96</v>
      </c>
      <c r="D222" s="2" t="s">
        <v>7</v>
      </c>
      <c r="E222" s="3">
        <v>1</v>
      </c>
    </row>
    <row r="223" spans="1:5">
      <c r="A223" s="2" t="s">
        <v>5045</v>
      </c>
      <c r="B223" s="3">
        <v>20140858</v>
      </c>
      <c r="C223" s="3" t="s">
        <v>96</v>
      </c>
      <c r="D223" s="2" t="s">
        <v>7</v>
      </c>
      <c r="E223" s="3">
        <v>1</v>
      </c>
    </row>
    <row r="224" spans="1:5">
      <c r="A224" s="2" t="s">
        <v>5045</v>
      </c>
      <c r="B224" s="3">
        <v>20140859</v>
      </c>
      <c r="C224" s="3" t="s">
        <v>96</v>
      </c>
      <c r="D224" s="2" t="s">
        <v>7</v>
      </c>
      <c r="E224" s="3">
        <v>1</v>
      </c>
    </row>
    <row r="225" spans="1:5">
      <c r="A225" s="2" t="s">
        <v>5045</v>
      </c>
      <c r="B225" s="3">
        <v>20140860</v>
      </c>
      <c r="C225" s="3" t="s">
        <v>96</v>
      </c>
      <c r="D225" s="2" t="s">
        <v>7</v>
      </c>
      <c r="E225" s="3">
        <v>1</v>
      </c>
    </row>
    <row r="226" spans="1:5">
      <c r="A226" s="2" t="s">
        <v>5045</v>
      </c>
      <c r="B226" s="3">
        <v>20140861</v>
      </c>
      <c r="C226" s="3" t="s">
        <v>96</v>
      </c>
      <c r="D226" s="2" t="s">
        <v>7</v>
      </c>
      <c r="E226" s="3">
        <v>1</v>
      </c>
    </row>
    <row r="227" spans="1:5">
      <c r="A227" s="2" t="s">
        <v>5045</v>
      </c>
      <c r="B227" s="3">
        <v>20140862</v>
      </c>
      <c r="C227" s="3" t="s">
        <v>96</v>
      </c>
      <c r="D227" s="2" t="s">
        <v>7</v>
      </c>
      <c r="E227" s="3">
        <v>1</v>
      </c>
    </row>
    <row r="228" spans="1:5">
      <c r="A228" s="2" t="s">
        <v>5045</v>
      </c>
      <c r="B228" s="3">
        <v>20140863</v>
      </c>
      <c r="C228" s="3" t="s">
        <v>96</v>
      </c>
      <c r="D228" s="2" t="s">
        <v>7</v>
      </c>
      <c r="E228" s="3">
        <v>1</v>
      </c>
    </row>
    <row r="229" spans="1:5">
      <c r="A229" s="2" t="s">
        <v>5045</v>
      </c>
      <c r="B229" s="3">
        <v>20140864</v>
      </c>
      <c r="C229" s="3" t="s">
        <v>96</v>
      </c>
      <c r="D229" s="2" t="s">
        <v>7</v>
      </c>
      <c r="E229" s="3">
        <v>1</v>
      </c>
    </row>
    <row r="230" spans="1:5">
      <c r="A230" s="2" t="s">
        <v>5045</v>
      </c>
      <c r="B230" s="3">
        <v>20140865</v>
      </c>
      <c r="C230" s="3" t="s">
        <v>96</v>
      </c>
      <c r="D230" s="2" t="s">
        <v>7</v>
      </c>
      <c r="E230" s="3">
        <v>1</v>
      </c>
    </row>
    <row r="231" spans="1:5">
      <c r="A231" s="2" t="s">
        <v>5045</v>
      </c>
      <c r="B231" s="3">
        <v>20140866</v>
      </c>
      <c r="C231" s="3" t="s">
        <v>96</v>
      </c>
      <c r="D231" s="2" t="s">
        <v>7</v>
      </c>
      <c r="E231" s="3">
        <v>1</v>
      </c>
    </row>
    <row r="232" spans="1:5">
      <c r="A232" s="2" t="s">
        <v>5045</v>
      </c>
      <c r="B232" s="3">
        <v>20150019</v>
      </c>
      <c r="C232" s="3" t="s">
        <v>362</v>
      </c>
      <c r="D232" s="2" t="s">
        <v>7</v>
      </c>
      <c r="E232" s="3">
        <v>1</v>
      </c>
    </row>
    <row r="233" spans="1:5">
      <c r="A233" s="2" t="s">
        <v>5045</v>
      </c>
      <c r="B233" s="3">
        <v>20170022</v>
      </c>
      <c r="C233" s="3" t="s">
        <v>772</v>
      </c>
      <c r="D233" s="2" t="s">
        <v>7</v>
      </c>
      <c r="E233" s="3">
        <v>1</v>
      </c>
    </row>
    <row r="234" spans="1:5">
      <c r="A234" s="2" t="s">
        <v>5045</v>
      </c>
      <c r="B234" s="3">
        <v>20170021</v>
      </c>
      <c r="C234" s="3" t="s">
        <v>362</v>
      </c>
      <c r="D234" s="2" t="s">
        <v>7</v>
      </c>
      <c r="E234" s="3">
        <v>1</v>
      </c>
    </row>
    <row r="235" spans="1:5">
      <c r="A235" s="2" t="s">
        <v>5045</v>
      </c>
      <c r="B235" s="3">
        <v>20221113</v>
      </c>
      <c r="C235" s="3" t="s">
        <v>5050</v>
      </c>
      <c r="D235" s="2" t="s">
        <v>7</v>
      </c>
      <c r="E235" s="3">
        <v>1</v>
      </c>
    </row>
    <row r="236" spans="1:5">
      <c r="A236" s="2" t="s">
        <v>5045</v>
      </c>
      <c r="B236" s="3">
        <v>20221114</v>
      </c>
      <c r="C236" s="3" t="s">
        <v>5051</v>
      </c>
      <c r="D236" s="2" t="s">
        <v>7</v>
      </c>
      <c r="E236" s="3">
        <v>1</v>
      </c>
    </row>
    <row r="237" spans="1:5">
      <c r="A237" s="2" t="s">
        <v>5045</v>
      </c>
      <c r="B237" s="3">
        <v>20051789</v>
      </c>
      <c r="C237" s="3" t="s">
        <v>5052</v>
      </c>
      <c r="D237" s="2" t="s">
        <v>7</v>
      </c>
      <c r="E237" s="3">
        <v>1</v>
      </c>
    </row>
    <row r="238" spans="1:5">
      <c r="A238" s="2" t="s">
        <v>5045</v>
      </c>
      <c r="B238" s="3">
        <v>20051790</v>
      </c>
      <c r="C238" s="3" t="s">
        <v>5053</v>
      </c>
      <c r="D238" s="2" t="s">
        <v>7</v>
      </c>
      <c r="E238" s="3">
        <v>1</v>
      </c>
    </row>
    <row r="239" spans="1:5">
      <c r="A239" s="2" t="s">
        <v>5045</v>
      </c>
      <c r="B239" s="3">
        <v>20051791</v>
      </c>
      <c r="C239" s="3" t="s">
        <v>5053</v>
      </c>
      <c r="D239" s="2" t="s">
        <v>7</v>
      </c>
      <c r="E239" s="3">
        <v>1</v>
      </c>
    </row>
    <row r="240" spans="1:5">
      <c r="A240" s="2" t="s">
        <v>5045</v>
      </c>
      <c r="B240" s="3">
        <v>20051798</v>
      </c>
      <c r="C240" s="3" t="s">
        <v>1145</v>
      </c>
      <c r="D240" s="2" t="s">
        <v>7</v>
      </c>
      <c r="E240" s="3">
        <v>1</v>
      </c>
    </row>
    <row r="241" spans="1:5">
      <c r="A241" s="2" t="s">
        <v>5045</v>
      </c>
      <c r="B241" s="3">
        <v>20051799</v>
      </c>
      <c r="C241" s="3" t="s">
        <v>1145</v>
      </c>
      <c r="D241" s="2" t="s">
        <v>7</v>
      </c>
      <c r="E241" s="3">
        <v>1</v>
      </c>
    </row>
    <row r="242" spans="1:5">
      <c r="A242" s="2" t="s">
        <v>5045</v>
      </c>
      <c r="B242" s="3">
        <v>20051809</v>
      </c>
      <c r="C242" s="3" t="s">
        <v>5054</v>
      </c>
      <c r="D242" s="2" t="s">
        <v>7</v>
      </c>
      <c r="E242" s="3">
        <v>1</v>
      </c>
    </row>
    <row r="243" spans="1:5">
      <c r="A243" s="2" t="s">
        <v>5045</v>
      </c>
      <c r="B243" s="3">
        <v>20051816</v>
      </c>
      <c r="C243" s="3" t="s">
        <v>5055</v>
      </c>
      <c r="D243" s="2" t="s">
        <v>7</v>
      </c>
      <c r="E243" s="3">
        <v>1</v>
      </c>
    </row>
    <row r="244" spans="1:5">
      <c r="A244" s="2" t="s">
        <v>5045</v>
      </c>
      <c r="B244" s="3">
        <v>20051819</v>
      </c>
      <c r="C244" s="3" t="s">
        <v>5056</v>
      </c>
      <c r="D244" s="2" t="s">
        <v>7</v>
      </c>
      <c r="E244" s="3">
        <v>1</v>
      </c>
    </row>
    <row r="245" spans="1:5">
      <c r="A245" s="2" t="s">
        <v>5045</v>
      </c>
      <c r="B245" s="3">
        <v>20051820</v>
      </c>
      <c r="C245" s="3" t="s">
        <v>5056</v>
      </c>
      <c r="D245" s="2" t="s">
        <v>7</v>
      </c>
      <c r="E245" s="3">
        <v>1</v>
      </c>
    </row>
    <row r="246" spans="1:5">
      <c r="A246" s="2" t="s">
        <v>5045</v>
      </c>
      <c r="B246" s="3">
        <v>20051821</v>
      </c>
      <c r="C246" s="3" t="s">
        <v>5056</v>
      </c>
      <c r="D246" s="2" t="s">
        <v>7</v>
      </c>
      <c r="E246" s="3">
        <v>1</v>
      </c>
    </row>
    <row r="247" spans="1:5">
      <c r="A247" s="2" t="s">
        <v>5045</v>
      </c>
      <c r="B247" s="3">
        <v>20051822</v>
      </c>
      <c r="C247" s="3" t="s">
        <v>5056</v>
      </c>
      <c r="D247" s="2" t="s">
        <v>7</v>
      </c>
      <c r="E247" s="3">
        <v>1</v>
      </c>
    </row>
    <row r="248" spans="1:5">
      <c r="A248" s="2" t="s">
        <v>5045</v>
      </c>
      <c r="B248" s="3">
        <v>20051823</v>
      </c>
      <c r="C248" s="3" t="s">
        <v>5056</v>
      </c>
      <c r="D248" s="2" t="s">
        <v>7</v>
      </c>
      <c r="E248" s="3">
        <v>1</v>
      </c>
    </row>
    <row r="249" spans="1:5">
      <c r="A249" s="2" t="s">
        <v>5045</v>
      </c>
      <c r="B249" s="3">
        <v>20051824</v>
      </c>
      <c r="C249" s="3" t="s">
        <v>5056</v>
      </c>
      <c r="D249" s="2" t="s">
        <v>7</v>
      </c>
      <c r="E249" s="3">
        <v>1</v>
      </c>
    </row>
    <row r="250" spans="1:5">
      <c r="A250" s="2" t="s">
        <v>5045</v>
      </c>
      <c r="B250" s="3">
        <v>20051825</v>
      </c>
      <c r="C250" s="3" t="s">
        <v>5056</v>
      </c>
      <c r="D250" s="2" t="s">
        <v>7</v>
      </c>
      <c r="E250" s="3">
        <v>1</v>
      </c>
    </row>
    <row r="251" spans="1:5">
      <c r="A251" s="2" t="s">
        <v>5045</v>
      </c>
      <c r="B251" s="3">
        <v>20051826</v>
      </c>
      <c r="C251" s="3" t="s">
        <v>5057</v>
      </c>
      <c r="D251" s="2" t="s">
        <v>7</v>
      </c>
      <c r="E251" s="3">
        <v>1</v>
      </c>
    </row>
    <row r="252" spans="1:5">
      <c r="A252" s="2" t="s">
        <v>5045</v>
      </c>
      <c r="B252" s="3">
        <v>20051828</v>
      </c>
      <c r="C252" s="3" t="s">
        <v>4955</v>
      </c>
      <c r="D252" s="2" t="s">
        <v>7</v>
      </c>
      <c r="E252" s="3">
        <v>1</v>
      </c>
    </row>
    <row r="253" spans="1:5">
      <c r="A253" s="2" t="s">
        <v>5045</v>
      </c>
      <c r="B253" s="3">
        <v>20051829</v>
      </c>
      <c r="C253" s="3" t="s">
        <v>4955</v>
      </c>
      <c r="D253" s="2" t="s">
        <v>7</v>
      </c>
      <c r="E253" s="3">
        <v>1</v>
      </c>
    </row>
    <row r="254" spans="1:5">
      <c r="A254" s="2" t="s">
        <v>5045</v>
      </c>
      <c r="B254" s="3">
        <v>20051831</v>
      </c>
      <c r="C254" s="3" t="s">
        <v>4955</v>
      </c>
      <c r="D254" s="2" t="s">
        <v>7</v>
      </c>
      <c r="E254" s="3">
        <v>1</v>
      </c>
    </row>
    <row r="255" spans="1:5">
      <c r="A255" s="2" t="s">
        <v>5045</v>
      </c>
      <c r="B255" s="3">
        <v>20051837</v>
      </c>
      <c r="C255" s="3" t="s">
        <v>5058</v>
      </c>
      <c r="D255" s="2" t="s">
        <v>7</v>
      </c>
      <c r="E255" s="3">
        <v>1</v>
      </c>
    </row>
    <row r="256" spans="1:5">
      <c r="A256" s="2" t="s">
        <v>5045</v>
      </c>
      <c r="B256" s="3">
        <v>20110191</v>
      </c>
      <c r="C256" s="3" t="s">
        <v>49</v>
      </c>
      <c r="D256" s="2" t="s">
        <v>7</v>
      </c>
      <c r="E256" s="3">
        <v>1</v>
      </c>
    </row>
    <row r="257" spans="1:5">
      <c r="A257" s="2" t="s">
        <v>5045</v>
      </c>
      <c r="B257" s="3">
        <v>20160362</v>
      </c>
      <c r="C257" s="3" t="s">
        <v>1140</v>
      </c>
      <c r="D257" s="2" t="s">
        <v>7</v>
      </c>
      <c r="E257" s="3">
        <v>1</v>
      </c>
    </row>
    <row r="258" spans="1:5">
      <c r="A258" s="2" t="s">
        <v>5045</v>
      </c>
      <c r="B258" s="3">
        <v>20160403</v>
      </c>
      <c r="C258" s="3" t="s">
        <v>4677</v>
      </c>
      <c r="D258" s="2" t="s">
        <v>7</v>
      </c>
      <c r="E258" s="3">
        <v>1</v>
      </c>
    </row>
    <row r="259" spans="1:5">
      <c r="A259" s="2" t="s">
        <v>5045</v>
      </c>
      <c r="B259" s="3">
        <v>20160605</v>
      </c>
      <c r="C259" s="3" t="s">
        <v>96</v>
      </c>
      <c r="D259" s="2" t="s">
        <v>7</v>
      </c>
      <c r="E259" s="3">
        <v>1</v>
      </c>
    </row>
    <row r="260" spans="1:5">
      <c r="A260" s="2" t="s">
        <v>5045</v>
      </c>
      <c r="B260" s="3">
        <v>20210711</v>
      </c>
      <c r="C260" s="3" t="s">
        <v>108</v>
      </c>
      <c r="D260" s="2" t="s">
        <v>7</v>
      </c>
      <c r="E260" s="3">
        <v>1</v>
      </c>
    </row>
    <row r="261" spans="1:5">
      <c r="A261" s="2" t="s">
        <v>5045</v>
      </c>
      <c r="B261" s="3">
        <v>20210770</v>
      </c>
      <c r="C261" s="3" t="s">
        <v>3534</v>
      </c>
      <c r="D261" s="2" t="s">
        <v>7</v>
      </c>
      <c r="E261" s="3">
        <v>1</v>
      </c>
    </row>
    <row r="262" spans="1:5">
      <c r="A262" s="2" t="s">
        <v>5045</v>
      </c>
      <c r="B262" s="3">
        <v>20210771</v>
      </c>
      <c r="C262" s="3" t="s">
        <v>3534</v>
      </c>
      <c r="D262" s="2" t="s">
        <v>7</v>
      </c>
      <c r="E262" s="3">
        <v>1</v>
      </c>
    </row>
    <row r="263" spans="1:5">
      <c r="A263" s="2" t="s">
        <v>5045</v>
      </c>
      <c r="B263" s="3">
        <v>20210772</v>
      </c>
      <c r="C263" s="3" t="s">
        <v>3534</v>
      </c>
      <c r="D263" s="2" t="s">
        <v>7</v>
      </c>
      <c r="E263" s="3">
        <v>1</v>
      </c>
    </row>
    <row r="264" spans="1:5">
      <c r="A264" s="2" t="s">
        <v>5045</v>
      </c>
      <c r="B264" s="3">
        <v>20020809</v>
      </c>
      <c r="C264" s="3" t="s">
        <v>5059</v>
      </c>
      <c r="D264" s="2" t="s">
        <v>7</v>
      </c>
      <c r="E264" s="3">
        <v>1</v>
      </c>
    </row>
    <row r="265" spans="1:5">
      <c r="A265" s="2" t="s">
        <v>5045</v>
      </c>
      <c r="B265" s="3">
        <v>20080270</v>
      </c>
      <c r="C265" s="3" t="s">
        <v>49</v>
      </c>
      <c r="D265" s="2" t="s">
        <v>7</v>
      </c>
      <c r="E265" s="3">
        <v>1</v>
      </c>
    </row>
    <row r="266" spans="1:5">
      <c r="A266" s="2" t="s">
        <v>5045</v>
      </c>
      <c r="B266" s="3">
        <v>20090414</v>
      </c>
      <c r="C266" s="3" t="s">
        <v>4984</v>
      </c>
      <c r="D266" s="2" t="s">
        <v>7</v>
      </c>
      <c r="E266" s="3">
        <v>1</v>
      </c>
    </row>
    <row r="267" spans="1:5">
      <c r="A267" s="2" t="s">
        <v>5045</v>
      </c>
      <c r="B267" s="3">
        <v>20090420</v>
      </c>
      <c r="C267" s="3" t="s">
        <v>5060</v>
      </c>
      <c r="D267" s="2" t="s">
        <v>7</v>
      </c>
      <c r="E267" s="3">
        <v>1</v>
      </c>
    </row>
    <row r="268" spans="1:5">
      <c r="A268" s="2" t="s">
        <v>5045</v>
      </c>
      <c r="B268" s="3">
        <v>20090421</v>
      </c>
      <c r="C268" s="3" t="s">
        <v>5060</v>
      </c>
      <c r="D268" s="2" t="s">
        <v>7</v>
      </c>
      <c r="E268" s="3">
        <v>1</v>
      </c>
    </row>
    <row r="269" spans="1:5">
      <c r="A269" s="2" t="s">
        <v>5045</v>
      </c>
      <c r="B269" s="3">
        <v>20090422</v>
      </c>
      <c r="C269" s="3" t="s">
        <v>2203</v>
      </c>
      <c r="D269" s="2" t="s">
        <v>7</v>
      </c>
      <c r="E269" s="3">
        <v>1</v>
      </c>
    </row>
    <row r="270" spans="1:5">
      <c r="A270" s="2" t="s">
        <v>5045</v>
      </c>
      <c r="B270" s="3">
        <v>20090423</v>
      </c>
      <c r="C270" s="3" t="s">
        <v>2203</v>
      </c>
      <c r="D270" s="2" t="s">
        <v>7</v>
      </c>
      <c r="E270" s="3">
        <v>1</v>
      </c>
    </row>
    <row r="271" spans="1:5">
      <c r="A271" s="2" t="s">
        <v>5045</v>
      </c>
      <c r="B271" s="3">
        <v>20100303</v>
      </c>
      <c r="C271" s="3" t="s">
        <v>811</v>
      </c>
      <c r="D271" s="2" t="s">
        <v>7</v>
      </c>
      <c r="E271" s="3">
        <v>1</v>
      </c>
    </row>
    <row r="272" spans="1:5">
      <c r="A272" s="2" t="s">
        <v>5045</v>
      </c>
      <c r="B272" s="3">
        <v>20140320</v>
      </c>
      <c r="C272" s="3" t="s">
        <v>5061</v>
      </c>
      <c r="D272" s="2" t="s">
        <v>7</v>
      </c>
      <c r="E272" s="3">
        <v>1</v>
      </c>
    </row>
    <row r="273" spans="1:5">
      <c r="A273" s="2" t="s">
        <v>5045</v>
      </c>
      <c r="B273" s="3">
        <v>20140321</v>
      </c>
      <c r="C273" s="3" t="s">
        <v>5061</v>
      </c>
      <c r="D273" s="2" t="s">
        <v>7</v>
      </c>
      <c r="E273" s="3">
        <v>1</v>
      </c>
    </row>
    <row r="274" spans="1:5">
      <c r="A274" s="2" t="s">
        <v>5045</v>
      </c>
      <c r="B274" s="3">
        <v>20140322</v>
      </c>
      <c r="C274" s="3" t="s">
        <v>5061</v>
      </c>
      <c r="D274" s="2" t="s">
        <v>7</v>
      </c>
      <c r="E274" s="3">
        <v>1</v>
      </c>
    </row>
    <row r="275" spans="1:5">
      <c r="A275" s="2" t="s">
        <v>5045</v>
      </c>
      <c r="B275" s="3">
        <v>20140323</v>
      </c>
      <c r="C275" s="3" t="s">
        <v>5061</v>
      </c>
      <c r="D275" s="2" t="s">
        <v>7</v>
      </c>
      <c r="E275" s="3">
        <v>1</v>
      </c>
    </row>
    <row r="276" spans="1:5">
      <c r="A276" s="2" t="s">
        <v>5045</v>
      </c>
      <c r="B276" s="3">
        <v>20140324</v>
      </c>
      <c r="C276" s="3" t="s">
        <v>5061</v>
      </c>
      <c r="D276" s="2" t="s">
        <v>7</v>
      </c>
      <c r="E276" s="3">
        <v>1</v>
      </c>
    </row>
    <row r="277" spans="1:5">
      <c r="A277" s="2" t="s">
        <v>5045</v>
      </c>
      <c r="B277" s="3">
        <v>20140325</v>
      </c>
      <c r="C277" s="3" t="s">
        <v>5061</v>
      </c>
      <c r="D277" s="2" t="s">
        <v>7</v>
      </c>
      <c r="E277" s="3">
        <v>1</v>
      </c>
    </row>
    <row r="278" spans="1:5">
      <c r="A278" s="2" t="s">
        <v>5045</v>
      </c>
      <c r="B278" s="3">
        <v>20140326</v>
      </c>
      <c r="C278" s="3" t="s">
        <v>5061</v>
      </c>
      <c r="D278" s="2" t="s">
        <v>7</v>
      </c>
      <c r="E278" s="3">
        <v>1</v>
      </c>
    </row>
    <row r="279" spans="1:5">
      <c r="A279" s="2" t="s">
        <v>5045</v>
      </c>
      <c r="B279" s="3">
        <v>20140327</v>
      </c>
      <c r="C279" s="3" t="s">
        <v>5061</v>
      </c>
      <c r="D279" s="2" t="s">
        <v>7</v>
      </c>
      <c r="E279" s="3">
        <v>1</v>
      </c>
    </row>
    <row r="280" spans="1:5">
      <c r="A280" s="2" t="s">
        <v>5045</v>
      </c>
      <c r="B280" s="3">
        <v>20140328</v>
      </c>
      <c r="C280" s="3" t="s">
        <v>5061</v>
      </c>
      <c r="D280" s="2" t="s">
        <v>7</v>
      </c>
      <c r="E280" s="3">
        <v>1</v>
      </c>
    </row>
    <row r="281" spans="1:5">
      <c r="A281" s="2" t="s">
        <v>5045</v>
      </c>
      <c r="B281" s="3">
        <v>20171244</v>
      </c>
      <c r="C281" s="3" t="s">
        <v>5061</v>
      </c>
      <c r="D281" s="2" t="s">
        <v>7</v>
      </c>
      <c r="E281" s="3">
        <v>1</v>
      </c>
    </row>
    <row r="282" spans="1:5">
      <c r="A282" s="2" t="s">
        <v>5045</v>
      </c>
      <c r="B282" s="3">
        <v>20171245</v>
      </c>
      <c r="C282" s="3" t="s">
        <v>5061</v>
      </c>
      <c r="D282" s="2" t="s">
        <v>7</v>
      </c>
      <c r="E282" s="3">
        <v>1</v>
      </c>
    </row>
    <row r="283" spans="1:5">
      <c r="A283" s="2" t="s">
        <v>5045</v>
      </c>
      <c r="B283" s="3">
        <v>20171246</v>
      </c>
      <c r="C283" s="3" t="s">
        <v>5061</v>
      </c>
      <c r="D283" s="2" t="s">
        <v>7</v>
      </c>
      <c r="E283" s="3">
        <v>1</v>
      </c>
    </row>
    <row r="284" spans="1:5">
      <c r="A284" s="2" t="s">
        <v>5045</v>
      </c>
      <c r="B284" s="3">
        <v>20171247</v>
      </c>
      <c r="C284" s="3" t="s">
        <v>5061</v>
      </c>
      <c r="D284" s="2" t="s">
        <v>7</v>
      </c>
      <c r="E284" s="3">
        <v>1</v>
      </c>
    </row>
    <row r="285" spans="1:5">
      <c r="A285" s="2" t="s">
        <v>5045</v>
      </c>
      <c r="B285" s="3">
        <v>20171248</v>
      </c>
      <c r="C285" s="3" t="s">
        <v>5061</v>
      </c>
      <c r="D285" s="2" t="s">
        <v>7</v>
      </c>
      <c r="E285" s="3">
        <v>1</v>
      </c>
    </row>
    <row r="286" spans="1:5">
      <c r="A286" s="2" t="s">
        <v>5045</v>
      </c>
      <c r="B286" s="3">
        <v>20171249</v>
      </c>
      <c r="C286" s="3" t="s">
        <v>5061</v>
      </c>
      <c r="D286" s="2" t="s">
        <v>7</v>
      </c>
      <c r="E286" s="3">
        <v>1</v>
      </c>
    </row>
    <row r="287" spans="1:5">
      <c r="A287" s="2" t="s">
        <v>5045</v>
      </c>
      <c r="B287" s="3">
        <v>20171250</v>
      </c>
      <c r="C287" s="3" t="s">
        <v>5061</v>
      </c>
      <c r="D287" s="2" t="s">
        <v>7</v>
      </c>
      <c r="E287" s="3">
        <v>1</v>
      </c>
    </row>
    <row r="288" spans="1:5">
      <c r="A288" s="2" t="s">
        <v>5045</v>
      </c>
      <c r="B288" s="3">
        <v>20171251</v>
      </c>
      <c r="C288" s="3" t="s">
        <v>5061</v>
      </c>
      <c r="D288" s="2" t="s">
        <v>7</v>
      </c>
      <c r="E288" s="3">
        <v>1</v>
      </c>
    </row>
    <row r="289" spans="1:5">
      <c r="A289" s="2" t="s">
        <v>5045</v>
      </c>
      <c r="B289" s="3">
        <v>20171252</v>
      </c>
      <c r="C289" s="3" t="s">
        <v>5061</v>
      </c>
      <c r="D289" s="2" t="s">
        <v>7</v>
      </c>
      <c r="E289" s="3">
        <v>1</v>
      </c>
    </row>
    <row r="290" spans="1:5">
      <c r="A290" s="2" t="s">
        <v>5045</v>
      </c>
      <c r="B290" s="3">
        <v>20171253</v>
      </c>
      <c r="C290" s="3" t="s">
        <v>5061</v>
      </c>
      <c r="D290" s="2" t="s">
        <v>7</v>
      </c>
      <c r="E290" s="3">
        <v>1</v>
      </c>
    </row>
    <row r="291" spans="1:5">
      <c r="A291" s="2" t="s">
        <v>5045</v>
      </c>
      <c r="B291" s="3">
        <v>20171254</v>
      </c>
      <c r="C291" s="3" t="s">
        <v>5061</v>
      </c>
      <c r="D291" s="2" t="s">
        <v>7</v>
      </c>
      <c r="E291" s="3">
        <v>1</v>
      </c>
    </row>
    <row r="292" spans="1:5">
      <c r="A292" s="2" t="s">
        <v>5045</v>
      </c>
      <c r="B292" s="3">
        <v>20171255</v>
      </c>
      <c r="C292" s="3" t="s">
        <v>5061</v>
      </c>
      <c r="D292" s="2" t="s">
        <v>7</v>
      </c>
      <c r="E292" s="3">
        <v>1</v>
      </c>
    </row>
    <row r="293" spans="1:5">
      <c r="A293" s="2" t="s">
        <v>5045</v>
      </c>
      <c r="B293" s="3">
        <v>20171256</v>
      </c>
      <c r="C293" s="3" t="s">
        <v>5061</v>
      </c>
      <c r="D293" s="2" t="s">
        <v>7</v>
      </c>
      <c r="E293" s="3">
        <v>1</v>
      </c>
    </row>
    <row r="294" spans="1:5">
      <c r="A294" s="2" t="s">
        <v>5045</v>
      </c>
      <c r="B294" s="3">
        <v>20171257</v>
      </c>
      <c r="C294" s="3" t="s">
        <v>5061</v>
      </c>
      <c r="D294" s="2" t="s">
        <v>7</v>
      </c>
      <c r="E294" s="3">
        <v>1</v>
      </c>
    </row>
    <row r="295" spans="1:5">
      <c r="A295" s="2" t="s">
        <v>5045</v>
      </c>
      <c r="B295" s="3">
        <v>20171258</v>
      </c>
      <c r="C295" s="3" t="s">
        <v>5061</v>
      </c>
      <c r="D295" s="2" t="s">
        <v>7</v>
      </c>
      <c r="E295" s="3">
        <v>1</v>
      </c>
    </row>
    <row r="296" spans="1:5">
      <c r="A296" s="2" t="s">
        <v>5045</v>
      </c>
      <c r="B296" s="3">
        <v>20171259</v>
      </c>
      <c r="C296" s="3" t="s">
        <v>5061</v>
      </c>
      <c r="D296" s="2" t="s">
        <v>7</v>
      </c>
      <c r="E296" s="3">
        <v>1</v>
      </c>
    </row>
    <row r="297" spans="1:5">
      <c r="A297" s="2" t="s">
        <v>5045</v>
      </c>
      <c r="B297" s="3">
        <v>20171260</v>
      </c>
      <c r="C297" s="3" t="s">
        <v>5061</v>
      </c>
      <c r="D297" s="2" t="s">
        <v>7</v>
      </c>
      <c r="E297" s="3">
        <v>1</v>
      </c>
    </row>
    <row r="298" spans="1:5">
      <c r="A298" s="2" t="s">
        <v>5045</v>
      </c>
      <c r="B298" s="3">
        <v>20171261</v>
      </c>
      <c r="C298" s="3" t="s">
        <v>5061</v>
      </c>
      <c r="D298" s="2" t="s">
        <v>7</v>
      </c>
      <c r="E298" s="3">
        <v>1</v>
      </c>
    </row>
    <row r="299" spans="1:5">
      <c r="A299" s="2" t="s">
        <v>5045</v>
      </c>
      <c r="B299" s="3">
        <v>20171262</v>
      </c>
      <c r="C299" s="3" t="s">
        <v>5061</v>
      </c>
      <c r="D299" s="2" t="s">
        <v>7</v>
      </c>
      <c r="E299" s="3">
        <v>1</v>
      </c>
    </row>
    <row r="300" spans="1:5">
      <c r="A300" s="2" t="s">
        <v>5045</v>
      </c>
      <c r="B300" s="3">
        <v>20171263</v>
      </c>
      <c r="C300" s="3" t="s">
        <v>5061</v>
      </c>
      <c r="D300" s="2" t="s">
        <v>7</v>
      </c>
      <c r="E300" s="3">
        <v>1</v>
      </c>
    </row>
    <row r="301" spans="1:5">
      <c r="A301" s="2" t="s">
        <v>5045</v>
      </c>
      <c r="B301" s="3">
        <v>20171264</v>
      </c>
      <c r="C301" s="3" t="s">
        <v>5061</v>
      </c>
      <c r="D301" s="2" t="s">
        <v>7</v>
      </c>
      <c r="E301" s="3">
        <v>1</v>
      </c>
    </row>
    <row r="302" spans="1:5">
      <c r="A302" s="2" t="s">
        <v>5045</v>
      </c>
      <c r="B302" s="3">
        <v>20171265</v>
      </c>
      <c r="C302" s="3" t="s">
        <v>5061</v>
      </c>
      <c r="D302" s="2" t="s">
        <v>7</v>
      </c>
      <c r="E302" s="3">
        <v>1</v>
      </c>
    </row>
    <row r="303" spans="1:5">
      <c r="A303" s="2" t="s">
        <v>5045</v>
      </c>
      <c r="B303" s="3">
        <v>20171266</v>
      </c>
      <c r="C303" s="3" t="s">
        <v>5061</v>
      </c>
      <c r="D303" s="2" t="s">
        <v>7</v>
      </c>
      <c r="E303" s="3">
        <v>1</v>
      </c>
    </row>
    <row r="304" spans="1:5">
      <c r="A304" s="2" t="s">
        <v>5045</v>
      </c>
      <c r="B304" s="3">
        <v>20171267</v>
      </c>
      <c r="C304" s="3" t="s">
        <v>5061</v>
      </c>
      <c r="D304" s="2" t="s">
        <v>7</v>
      </c>
      <c r="E304" s="3">
        <v>1</v>
      </c>
    </row>
    <row r="305" spans="1:5">
      <c r="A305" s="2" t="s">
        <v>5045</v>
      </c>
      <c r="B305" s="3">
        <v>20171268</v>
      </c>
      <c r="C305" s="3" t="s">
        <v>5061</v>
      </c>
      <c r="D305" s="2" t="s">
        <v>7</v>
      </c>
      <c r="E305" s="3">
        <v>1</v>
      </c>
    </row>
    <row r="306" spans="1:5">
      <c r="A306" s="2" t="s">
        <v>5045</v>
      </c>
      <c r="B306" s="3">
        <v>20171269</v>
      </c>
      <c r="C306" s="3" t="s">
        <v>5061</v>
      </c>
      <c r="D306" s="2" t="s">
        <v>7</v>
      </c>
      <c r="E306" s="3">
        <v>1</v>
      </c>
    </row>
    <row r="307" spans="1:5">
      <c r="A307" s="2" t="s">
        <v>5045</v>
      </c>
      <c r="B307" s="3">
        <v>20171270</v>
      </c>
      <c r="C307" s="3" t="s">
        <v>5061</v>
      </c>
      <c r="D307" s="2" t="s">
        <v>7</v>
      </c>
      <c r="E307" s="3">
        <v>1</v>
      </c>
    </row>
    <row r="308" spans="1:5">
      <c r="A308" s="2" t="s">
        <v>5045</v>
      </c>
      <c r="B308" s="3">
        <v>20171271</v>
      </c>
      <c r="C308" s="3" t="s">
        <v>5061</v>
      </c>
      <c r="D308" s="2" t="s">
        <v>7</v>
      </c>
      <c r="E308" s="3">
        <v>1</v>
      </c>
    </row>
    <row r="309" spans="1:5">
      <c r="A309" s="2" t="s">
        <v>5045</v>
      </c>
      <c r="B309" s="3">
        <v>20171272</v>
      </c>
      <c r="C309" s="3" t="s">
        <v>5061</v>
      </c>
      <c r="D309" s="2" t="s">
        <v>7</v>
      </c>
      <c r="E309" s="3">
        <v>1</v>
      </c>
    </row>
    <row r="310" spans="1:5">
      <c r="A310" s="2" t="s">
        <v>5045</v>
      </c>
      <c r="B310" s="3">
        <v>20171273</v>
      </c>
      <c r="C310" s="3" t="s">
        <v>5061</v>
      </c>
      <c r="D310" s="2" t="s">
        <v>7</v>
      </c>
      <c r="E310" s="3">
        <v>1</v>
      </c>
    </row>
    <row r="311" spans="1:5">
      <c r="A311" s="2" t="s">
        <v>5045</v>
      </c>
      <c r="B311" s="3">
        <v>20171274</v>
      </c>
      <c r="C311" s="3" t="s">
        <v>5061</v>
      </c>
      <c r="D311" s="2" t="s">
        <v>7</v>
      </c>
      <c r="E311" s="3">
        <v>1</v>
      </c>
    </row>
    <row r="312" spans="1:5">
      <c r="A312" s="2" t="s">
        <v>5045</v>
      </c>
      <c r="B312" s="3">
        <v>20171275</v>
      </c>
      <c r="C312" s="3" t="s">
        <v>5061</v>
      </c>
      <c r="D312" s="2" t="s">
        <v>7</v>
      </c>
      <c r="E312" s="3">
        <v>1</v>
      </c>
    </row>
    <row r="313" spans="1:5">
      <c r="A313" s="2" t="s">
        <v>5045</v>
      </c>
      <c r="B313" s="3">
        <v>20171276</v>
      </c>
      <c r="C313" s="3" t="s">
        <v>5061</v>
      </c>
      <c r="D313" s="2" t="s">
        <v>7</v>
      </c>
      <c r="E313" s="3">
        <v>1</v>
      </c>
    </row>
    <row r="314" spans="1:5">
      <c r="A314" s="2" t="s">
        <v>5045</v>
      </c>
      <c r="B314" s="3">
        <v>20171277</v>
      </c>
      <c r="C314" s="3" t="s">
        <v>5061</v>
      </c>
      <c r="D314" s="2" t="s">
        <v>7</v>
      </c>
      <c r="E314" s="3">
        <v>1</v>
      </c>
    </row>
    <row r="315" spans="1:5">
      <c r="A315" s="2" t="s">
        <v>5045</v>
      </c>
      <c r="B315" s="3">
        <v>20171278</v>
      </c>
      <c r="C315" s="3" t="s">
        <v>5061</v>
      </c>
      <c r="D315" s="2" t="s">
        <v>7</v>
      </c>
      <c r="E315" s="3">
        <v>1</v>
      </c>
    </row>
    <row r="316" spans="1:5">
      <c r="A316" s="2" t="s">
        <v>5045</v>
      </c>
      <c r="B316" s="3">
        <v>20171279</v>
      </c>
      <c r="C316" s="3" t="s">
        <v>5061</v>
      </c>
      <c r="D316" s="2" t="s">
        <v>7</v>
      </c>
      <c r="E316" s="3">
        <v>1</v>
      </c>
    </row>
    <row r="317" spans="1:5">
      <c r="A317" s="2" t="s">
        <v>5045</v>
      </c>
      <c r="B317" s="3">
        <v>20171280</v>
      </c>
      <c r="C317" s="3" t="s">
        <v>5061</v>
      </c>
      <c r="D317" s="2" t="s">
        <v>7</v>
      </c>
      <c r="E317" s="3">
        <v>1</v>
      </c>
    </row>
    <row r="318" spans="1:5">
      <c r="A318" s="2" t="s">
        <v>5045</v>
      </c>
      <c r="B318" s="3">
        <v>20171281</v>
      </c>
      <c r="C318" s="3" t="s">
        <v>5061</v>
      </c>
      <c r="D318" s="2" t="s">
        <v>7</v>
      </c>
      <c r="E318" s="3">
        <v>1</v>
      </c>
    </row>
    <row r="319" spans="1:5">
      <c r="A319" s="2" t="s">
        <v>5045</v>
      </c>
      <c r="B319" s="3">
        <v>20171282</v>
      </c>
      <c r="C319" s="3" t="s">
        <v>5061</v>
      </c>
      <c r="D319" s="2" t="s">
        <v>7</v>
      </c>
      <c r="E319" s="3">
        <v>1</v>
      </c>
    </row>
    <row r="320" spans="1:5">
      <c r="A320" s="2" t="s">
        <v>5045</v>
      </c>
      <c r="B320" s="3">
        <v>20171283</v>
      </c>
      <c r="C320" s="3" t="s">
        <v>5061</v>
      </c>
      <c r="D320" s="2" t="s">
        <v>7</v>
      </c>
      <c r="E320" s="3">
        <v>1</v>
      </c>
    </row>
    <row r="321" spans="1:5">
      <c r="A321" s="2" t="s">
        <v>5045</v>
      </c>
      <c r="B321" s="3">
        <v>20171284</v>
      </c>
      <c r="C321" s="3" t="s">
        <v>5061</v>
      </c>
      <c r="D321" s="2" t="s">
        <v>7</v>
      </c>
      <c r="E321" s="3">
        <v>1</v>
      </c>
    </row>
    <row r="322" spans="1:5">
      <c r="A322" s="2" t="s">
        <v>5045</v>
      </c>
      <c r="B322" s="3">
        <v>20171285</v>
      </c>
      <c r="C322" s="3" t="s">
        <v>5061</v>
      </c>
      <c r="D322" s="2" t="s">
        <v>7</v>
      </c>
      <c r="E322" s="3">
        <v>1</v>
      </c>
    </row>
    <row r="323" spans="1:5">
      <c r="A323" s="2" t="s">
        <v>5045</v>
      </c>
      <c r="B323" s="3">
        <v>20171286</v>
      </c>
      <c r="C323" s="3" t="s">
        <v>5061</v>
      </c>
      <c r="D323" s="2" t="s">
        <v>7</v>
      </c>
      <c r="E323" s="3">
        <v>1</v>
      </c>
    </row>
    <row r="324" spans="1:5">
      <c r="A324" s="2" t="s">
        <v>5045</v>
      </c>
      <c r="B324" s="3">
        <v>20171287</v>
      </c>
      <c r="C324" s="3" t="s">
        <v>5061</v>
      </c>
      <c r="D324" s="2" t="s">
        <v>7</v>
      </c>
      <c r="E324" s="3">
        <v>1</v>
      </c>
    </row>
    <row r="325" spans="1:5">
      <c r="A325" s="2" t="s">
        <v>5045</v>
      </c>
      <c r="B325" s="3">
        <v>20171288</v>
      </c>
      <c r="C325" s="3" t="s">
        <v>5061</v>
      </c>
      <c r="D325" s="2" t="s">
        <v>7</v>
      </c>
      <c r="E325" s="3">
        <v>1</v>
      </c>
    </row>
    <row r="326" spans="1:5">
      <c r="A326" s="2" t="s">
        <v>5045</v>
      </c>
      <c r="B326" s="3">
        <v>20171656</v>
      </c>
      <c r="C326" s="3" t="s">
        <v>35</v>
      </c>
      <c r="D326" s="2" t="s">
        <v>7</v>
      </c>
      <c r="E326" s="3">
        <v>1</v>
      </c>
    </row>
    <row r="327" spans="1:5">
      <c r="A327" s="2" t="s">
        <v>5045</v>
      </c>
      <c r="B327" s="3">
        <v>20180166</v>
      </c>
      <c r="C327" s="3" t="s">
        <v>95</v>
      </c>
      <c r="D327" s="2" t="s">
        <v>7</v>
      </c>
      <c r="E327" s="3">
        <v>1</v>
      </c>
    </row>
    <row r="328" spans="1:5">
      <c r="A328" s="2" t="s">
        <v>5045</v>
      </c>
      <c r="B328" s="3">
        <v>20180167</v>
      </c>
      <c r="C328" s="3" t="s">
        <v>95</v>
      </c>
      <c r="D328" s="2" t="s">
        <v>7</v>
      </c>
      <c r="E328" s="3">
        <v>1</v>
      </c>
    </row>
    <row r="329" spans="1:5">
      <c r="A329" s="2" t="s">
        <v>5045</v>
      </c>
      <c r="B329" s="3">
        <v>20180189</v>
      </c>
      <c r="C329" s="3" t="s">
        <v>305</v>
      </c>
      <c r="D329" s="2" t="s">
        <v>7</v>
      </c>
      <c r="E329" s="3">
        <v>1</v>
      </c>
    </row>
    <row r="330" spans="1:5">
      <c r="A330" s="2" t="s">
        <v>5045</v>
      </c>
      <c r="B330" s="3">
        <v>20180190</v>
      </c>
      <c r="C330" s="3" t="s">
        <v>305</v>
      </c>
      <c r="D330" s="2" t="s">
        <v>7</v>
      </c>
      <c r="E330" s="3">
        <v>1</v>
      </c>
    </row>
    <row r="331" spans="1:5">
      <c r="A331" s="2" t="s">
        <v>5045</v>
      </c>
      <c r="B331" s="3">
        <v>20052028</v>
      </c>
      <c r="C331" s="3" t="s">
        <v>1140</v>
      </c>
      <c r="D331" s="2" t="s">
        <v>7</v>
      </c>
      <c r="E331" s="3">
        <v>1</v>
      </c>
    </row>
    <row r="332" spans="1:5">
      <c r="A332" s="2" t="s">
        <v>5045</v>
      </c>
      <c r="B332" s="3">
        <v>20052114</v>
      </c>
      <c r="C332" s="3" t="s">
        <v>1143</v>
      </c>
      <c r="D332" s="2" t="s">
        <v>7</v>
      </c>
      <c r="E332" s="3">
        <v>1</v>
      </c>
    </row>
    <row r="333" spans="1:5">
      <c r="A333" s="2" t="s">
        <v>5045</v>
      </c>
      <c r="B333" s="3">
        <v>20052233</v>
      </c>
      <c r="C333" s="3" t="s">
        <v>1148</v>
      </c>
      <c r="D333" s="2" t="s">
        <v>7</v>
      </c>
      <c r="E333" s="3">
        <v>1</v>
      </c>
    </row>
    <row r="334" spans="1:5">
      <c r="A334" s="2" t="s">
        <v>5045</v>
      </c>
      <c r="B334" s="3">
        <v>20052402</v>
      </c>
      <c r="C334" s="3" t="s">
        <v>406</v>
      </c>
      <c r="D334" s="2" t="s">
        <v>7</v>
      </c>
      <c r="E334" s="3">
        <v>1</v>
      </c>
    </row>
    <row r="335" spans="1:5">
      <c r="A335" s="2" t="s">
        <v>5045</v>
      </c>
      <c r="B335" s="3">
        <v>20060467</v>
      </c>
      <c r="C335" s="3" t="s">
        <v>305</v>
      </c>
      <c r="D335" s="2" t="s">
        <v>7</v>
      </c>
      <c r="E335" s="3">
        <v>1</v>
      </c>
    </row>
    <row r="336" spans="1:5">
      <c r="A336" s="2" t="s">
        <v>5045</v>
      </c>
      <c r="B336" s="3">
        <v>20100800</v>
      </c>
      <c r="C336" s="3" t="s">
        <v>305</v>
      </c>
      <c r="D336" s="2" t="s">
        <v>7</v>
      </c>
      <c r="E336" s="3">
        <v>1</v>
      </c>
    </row>
    <row r="337" spans="1:5">
      <c r="A337" s="2" t="s">
        <v>5045</v>
      </c>
      <c r="B337" s="3">
        <v>20100801</v>
      </c>
      <c r="C337" s="3" t="s">
        <v>305</v>
      </c>
      <c r="D337" s="2" t="s">
        <v>7</v>
      </c>
      <c r="E337" s="3">
        <v>1</v>
      </c>
    </row>
    <row r="338" spans="1:5">
      <c r="A338" s="2" t="s">
        <v>5045</v>
      </c>
      <c r="B338" s="3">
        <v>20100802</v>
      </c>
      <c r="C338" s="3" t="s">
        <v>305</v>
      </c>
      <c r="D338" s="2" t="s">
        <v>7</v>
      </c>
      <c r="E338" s="3">
        <v>1</v>
      </c>
    </row>
    <row r="339" spans="1:5">
      <c r="A339" s="2" t="s">
        <v>5045</v>
      </c>
      <c r="B339" s="3">
        <v>20100803</v>
      </c>
      <c r="C339" s="3" t="s">
        <v>305</v>
      </c>
      <c r="D339" s="2" t="s">
        <v>7</v>
      </c>
      <c r="E339" s="3">
        <v>1</v>
      </c>
    </row>
    <row r="340" spans="1:5">
      <c r="A340" s="2" t="s">
        <v>5045</v>
      </c>
      <c r="B340" s="3">
        <v>20110145</v>
      </c>
      <c r="C340" s="3" t="s">
        <v>2534</v>
      </c>
      <c r="D340" s="2" t="s">
        <v>7</v>
      </c>
      <c r="E340" s="3">
        <v>1</v>
      </c>
    </row>
    <row r="341" spans="1:5">
      <c r="A341" s="2" t="s">
        <v>5045</v>
      </c>
      <c r="B341" s="3">
        <v>20110146</v>
      </c>
      <c r="C341" s="3" t="s">
        <v>3210</v>
      </c>
      <c r="D341" s="2" t="s">
        <v>7</v>
      </c>
      <c r="E341" s="3">
        <v>1</v>
      </c>
    </row>
    <row r="342" spans="1:5">
      <c r="A342" s="2" t="s">
        <v>5045</v>
      </c>
      <c r="B342" s="3">
        <v>20110150</v>
      </c>
      <c r="C342" s="3" t="s">
        <v>3212</v>
      </c>
      <c r="D342" s="2" t="s">
        <v>7</v>
      </c>
      <c r="E342" s="3">
        <v>1</v>
      </c>
    </row>
    <row r="343" spans="1:5">
      <c r="A343" s="2" t="s">
        <v>5045</v>
      </c>
      <c r="B343" s="3">
        <v>20110151</v>
      </c>
      <c r="C343" s="3" t="s">
        <v>3212</v>
      </c>
      <c r="D343" s="2" t="s">
        <v>7</v>
      </c>
      <c r="E343" s="3">
        <v>1</v>
      </c>
    </row>
    <row r="344" spans="1:5">
      <c r="A344" s="2" t="s">
        <v>5045</v>
      </c>
      <c r="B344" s="3">
        <v>20110152</v>
      </c>
      <c r="C344" s="3" t="s">
        <v>5062</v>
      </c>
      <c r="D344" s="2" t="s">
        <v>7</v>
      </c>
      <c r="E344" s="3">
        <v>1</v>
      </c>
    </row>
    <row r="345" spans="1:5">
      <c r="A345" s="2" t="s">
        <v>5045</v>
      </c>
      <c r="B345" s="3">
        <v>20110153</v>
      </c>
      <c r="C345" s="3" t="s">
        <v>96</v>
      </c>
      <c r="D345" s="2" t="s">
        <v>7</v>
      </c>
      <c r="E345" s="3">
        <v>1</v>
      </c>
    </row>
    <row r="346" spans="1:5">
      <c r="A346" s="2" t="s">
        <v>5045</v>
      </c>
      <c r="B346" s="3">
        <v>20110154</v>
      </c>
      <c r="C346" s="3" t="s">
        <v>4961</v>
      </c>
      <c r="D346" s="2" t="s">
        <v>7</v>
      </c>
      <c r="E346" s="3">
        <v>1</v>
      </c>
    </row>
    <row r="347" spans="1:5">
      <c r="A347" s="2" t="s">
        <v>5045</v>
      </c>
      <c r="B347" s="3">
        <v>20110190</v>
      </c>
      <c r="C347" s="3" t="s">
        <v>49</v>
      </c>
      <c r="D347" s="2" t="s">
        <v>7</v>
      </c>
      <c r="E347" s="3">
        <v>1</v>
      </c>
    </row>
    <row r="348" spans="1:5">
      <c r="A348" s="2" t="s">
        <v>5045</v>
      </c>
      <c r="B348" s="3">
        <v>20110193</v>
      </c>
      <c r="C348" s="3" t="s">
        <v>3574</v>
      </c>
      <c r="D348" s="2" t="s">
        <v>7</v>
      </c>
      <c r="E348" s="3">
        <v>1</v>
      </c>
    </row>
    <row r="349" spans="1:5">
      <c r="A349" s="2" t="s">
        <v>5045</v>
      </c>
      <c r="B349" s="3">
        <v>20110264</v>
      </c>
      <c r="C349" s="3" t="s">
        <v>49</v>
      </c>
      <c r="D349" s="2" t="s">
        <v>7</v>
      </c>
      <c r="E349" s="3">
        <v>1</v>
      </c>
    </row>
    <row r="350" spans="1:5">
      <c r="A350" s="2" t="s">
        <v>5045</v>
      </c>
      <c r="B350" s="3">
        <v>20141048</v>
      </c>
      <c r="C350" s="3" t="s">
        <v>96</v>
      </c>
      <c r="D350" s="2" t="s">
        <v>7</v>
      </c>
      <c r="E350" s="3">
        <v>1</v>
      </c>
    </row>
    <row r="351" spans="1:5">
      <c r="A351" s="2" t="s">
        <v>5045</v>
      </c>
      <c r="B351" s="3">
        <v>20180946</v>
      </c>
      <c r="C351" s="3" t="s">
        <v>2478</v>
      </c>
      <c r="D351" s="2" t="s">
        <v>7</v>
      </c>
      <c r="E351" s="3">
        <v>1</v>
      </c>
    </row>
    <row r="352" spans="1:5">
      <c r="A352" s="2" t="s">
        <v>5045</v>
      </c>
      <c r="B352" s="3">
        <v>20180947</v>
      </c>
      <c r="C352" s="3" t="s">
        <v>2478</v>
      </c>
      <c r="D352" s="2" t="s">
        <v>7</v>
      </c>
      <c r="E352" s="3">
        <v>1</v>
      </c>
    </row>
    <row r="353" spans="1:5">
      <c r="A353" s="2" t="s">
        <v>5045</v>
      </c>
      <c r="B353" s="3">
        <v>20100291</v>
      </c>
      <c r="C353" s="3" t="s">
        <v>4765</v>
      </c>
      <c r="D353" s="2" t="s">
        <v>7</v>
      </c>
      <c r="E353" s="3">
        <v>1</v>
      </c>
    </row>
    <row r="354" spans="1:5">
      <c r="A354" s="2" t="s">
        <v>5045</v>
      </c>
      <c r="B354" s="3">
        <v>20100292</v>
      </c>
      <c r="C354" s="3" t="s">
        <v>4984</v>
      </c>
      <c r="D354" s="2" t="s">
        <v>7</v>
      </c>
      <c r="E354" s="3">
        <v>1</v>
      </c>
    </row>
    <row r="355" spans="1:5">
      <c r="A355" s="2" t="s">
        <v>5045</v>
      </c>
      <c r="B355" s="3">
        <v>20100302</v>
      </c>
      <c r="C355" s="3" t="s">
        <v>914</v>
      </c>
      <c r="D355" s="2" t="s">
        <v>7</v>
      </c>
      <c r="E355" s="3">
        <v>1</v>
      </c>
    </row>
    <row r="356" spans="1:5">
      <c r="A356" s="2" t="s">
        <v>5045</v>
      </c>
      <c r="B356" s="3">
        <v>20100305</v>
      </c>
      <c r="C356" s="3" t="s">
        <v>4771</v>
      </c>
      <c r="D356" s="2" t="s">
        <v>7</v>
      </c>
      <c r="E356" s="3">
        <v>1</v>
      </c>
    </row>
    <row r="357" spans="1:5">
      <c r="A357" s="2" t="s">
        <v>5045</v>
      </c>
      <c r="B357" s="3">
        <v>20110009</v>
      </c>
      <c r="C357" s="3" t="s">
        <v>3534</v>
      </c>
      <c r="D357" s="2" t="s">
        <v>7</v>
      </c>
      <c r="E357" s="3">
        <v>1</v>
      </c>
    </row>
    <row r="358" spans="1:5">
      <c r="A358" s="2" t="s">
        <v>5045</v>
      </c>
      <c r="B358" s="3">
        <v>20160459</v>
      </c>
      <c r="C358" s="3" t="s">
        <v>49</v>
      </c>
      <c r="D358" s="2" t="s">
        <v>7</v>
      </c>
      <c r="E358" s="3">
        <v>1</v>
      </c>
    </row>
    <row r="359" spans="1:5">
      <c r="A359" s="2" t="s">
        <v>5045</v>
      </c>
      <c r="B359" s="3">
        <v>20200585</v>
      </c>
      <c r="C359" s="3" t="s">
        <v>305</v>
      </c>
      <c r="D359" s="2" t="s">
        <v>7</v>
      </c>
      <c r="E359" s="3">
        <v>1</v>
      </c>
    </row>
    <row r="360" spans="1:5">
      <c r="A360" s="2" t="s">
        <v>5045</v>
      </c>
      <c r="B360" s="3">
        <v>20221115</v>
      </c>
      <c r="C360" s="3" t="s">
        <v>5063</v>
      </c>
      <c r="D360" s="2" t="s">
        <v>7</v>
      </c>
      <c r="E360" s="3">
        <v>1</v>
      </c>
    </row>
    <row r="361" spans="1:5">
      <c r="A361" s="2" t="s">
        <v>5045</v>
      </c>
      <c r="B361" s="3">
        <v>20221116</v>
      </c>
      <c r="C361" s="3" t="s">
        <v>5063</v>
      </c>
      <c r="D361" s="2" t="s">
        <v>7</v>
      </c>
      <c r="E361" s="3">
        <v>1</v>
      </c>
    </row>
    <row r="362" spans="1:5">
      <c r="A362" s="2" t="s">
        <v>5045</v>
      </c>
      <c r="B362" s="3">
        <v>20221117</v>
      </c>
      <c r="C362" s="3" t="s">
        <v>811</v>
      </c>
      <c r="D362" s="2" t="s">
        <v>7</v>
      </c>
      <c r="E362" s="3">
        <v>1</v>
      </c>
    </row>
    <row r="363" spans="1:5">
      <c r="A363" s="2" t="s">
        <v>5045</v>
      </c>
      <c r="B363" s="3">
        <v>20220205</v>
      </c>
      <c r="C363" s="3" t="s">
        <v>5064</v>
      </c>
      <c r="D363" s="2" t="s">
        <v>7</v>
      </c>
      <c r="E363" s="3">
        <v>1</v>
      </c>
    </row>
    <row r="364" spans="1:5">
      <c r="A364" s="2" t="s">
        <v>5045</v>
      </c>
      <c r="B364" s="3">
        <v>20221118</v>
      </c>
      <c r="C364" s="3" t="s">
        <v>811</v>
      </c>
      <c r="D364" s="2" t="s">
        <v>7</v>
      </c>
      <c r="E364" s="3">
        <v>1</v>
      </c>
    </row>
    <row r="365" spans="1:5">
      <c r="A365" s="2" t="s">
        <v>5045</v>
      </c>
      <c r="B365" s="3">
        <v>20170013</v>
      </c>
      <c r="C365" s="3" t="s">
        <v>3561</v>
      </c>
      <c r="D365" s="2" t="s">
        <v>7</v>
      </c>
      <c r="E365" s="3">
        <v>1</v>
      </c>
    </row>
    <row r="366" spans="1:5">
      <c r="A366" s="2" t="s">
        <v>5045</v>
      </c>
      <c r="B366" s="3">
        <v>20170014</v>
      </c>
      <c r="C366" s="3" t="s">
        <v>3561</v>
      </c>
      <c r="D366" s="2" t="s">
        <v>7</v>
      </c>
      <c r="E366" s="3">
        <v>1</v>
      </c>
    </row>
    <row r="367" spans="1:5">
      <c r="A367" s="2" t="s">
        <v>5045</v>
      </c>
      <c r="B367" s="3">
        <v>20170015</v>
      </c>
      <c r="C367" s="3" t="s">
        <v>3561</v>
      </c>
      <c r="D367" s="2" t="s">
        <v>7</v>
      </c>
      <c r="E367" s="3">
        <v>1</v>
      </c>
    </row>
    <row r="368" spans="1:5">
      <c r="A368" s="2" t="s">
        <v>5045</v>
      </c>
      <c r="B368" s="3">
        <v>20170016</v>
      </c>
      <c r="C368" s="3" t="s">
        <v>3561</v>
      </c>
      <c r="D368" s="2" t="s">
        <v>7</v>
      </c>
      <c r="E368" s="3">
        <v>1</v>
      </c>
    </row>
    <row r="369" spans="1:5">
      <c r="A369" s="2" t="s">
        <v>5045</v>
      </c>
      <c r="B369" s="3">
        <v>20170017</v>
      </c>
      <c r="C369" s="3" t="s">
        <v>95</v>
      </c>
      <c r="D369" s="2" t="s">
        <v>7</v>
      </c>
      <c r="E369" s="3">
        <v>1</v>
      </c>
    </row>
    <row r="370" spans="1:5">
      <c r="A370" s="2" t="s">
        <v>5045</v>
      </c>
      <c r="B370" s="3">
        <v>20170018</v>
      </c>
      <c r="C370" s="3" t="s">
        <v>95</v>
      </c>
      <c r="D370" s="2" t="s">
        <v>7</v>
      </c>
      <c r="E370" s="3">
        <v>1</v>
      </c>
    </row>
    <row r="371" spans="1:5">
      <c r="A371" s="2" t="s">
        <v>5045</v>
      </c>
      <c r="B371" s="3">
        <v>20170019</v>
      </c>
      <c r="C371" s="3" t="s">
        <v>95</v>
      </c>
      <c r="D371" s="2" t="s">
        <v>7</v>
      </c>
      <c r="E371" s="3">
        <v>1</v>
      </c>
    </row>
    <row r="372" spans="1:5">
      <c r="A372" s="2" t="s">
        <v>5045</v>
      </c>
      <c r="B372" s="3">
        <v>20220197</v>
      </c>
      <c r="C372" s="3" t="s">
        <v>96</v>
      </c>
      <c r="D372" s="2" t="s">
        <v>7</v>
      </c>
      <c r="E372" s="3">
        <v>1</v>
      </c>
    </row>
    <row r="373" spans="1:5">
      <c r="A373" s="2" t="s">
        <v>5045</v>
      </c>
      <c r="B373" s="3">
        <v>20220198</v>
      </c>
      <c r="C373" s="3" t="s">
        <v>96</v>
      </c>
      <c r="D373" s="2" t="s">
        <v>7</v>
      </c>
      <c r="E373" s="3">
        <v>1</v>
      </c>
    </row>
    <row r="374" spans="1:5">
      <c r="A374" s="2" t="s">
        <v>5045</v>
      </c>
      <c r="B374" s="2" t="s">
        <v>5065</v>
      </c>
      <c r="C374" s="2" t="s">
        <v>5066</v>
      </c>
      <c r="D374" s="2" t="s">
        <v>7</v>
      </c>
      <c r="E374" s="3">
        <v>1</v>
      </c>
    </row>
    <row r="375" spans="1:5">
      <c r="A375" s="2" t="s">
        <v>5045</v>
      </c>
      <c r="B375" s="2">
        <v>20240125</v>
      </c>
      <c r="C375" s="2" t="s">
        <v>3534</v>
      </c>
      <c r="D375" s="2" t="s">
        <v>7</v>
      </c>
      <c r="E375" s="3">
        <v>1</v>
      </c>
    </row>
    <row r="376" spans="1:5">
      <c r="A376" s="2" t="s">
        <v>5045</v>
      </c>
      <c r="B376" s="2">
        <v>20240128</v>
      </c>
      <c r="C376" s="2" t="s">
        <v>3534</v>
      </c>
      <c r="D376" s="2" t="s">
        <v>7</v>
      </c>
      <c r="E376" s="3">
        <v>1</v>
      </c>
    </row>
    <row r="377" spans="1:5">
      <c r="A377" s="2" t="s">
        <v>5045</v>
      </c>
      <c r="B377" s="2">
        <v>20240123</v>
      </c>
      <c r="C377" s="2" t="s">
        <v>3534</v>
      </c>
      <c r="D377" s="2" t="s">
        <v>7</v>
      </c>
      <c r="E377" s="3">
        <v>1</v>
      </c>
    </row>
    <row r="378" spans="1:5">
      <c r="A378" s="2" t="s">
        <v>5045</v>
      </c>
      <c r="B378" s="2">
        <v>20240126</v>
      </c>
      <c r="C378" s="2" t="s">
        <v>3534</v>
      </c>
      <c r="D378" s="2" t="s">
        <v>7</v>
      </c>
      <c r="E378" s="3">
        <v>1</v>
      </c>
    </row>
    <row r="379" spans="1:5">
      <c r="A379" s="2" t="s">
        <v>5045</v>
      </c>
      <c r="E379" s="3">
        <v>1</v>
      </c>
    </row>
    <row r="380" spans="1:5">
      <c r="A380" s="2" t="s">
        <v>5045</v>
      </c>
      <c r="B380" s="2" t="s">
        <v>1</v>
      </c>
      <c r="C380" s="2" t="s">
        <v>2</v>
      </c>
      <c r="D380" s="2" t="s">
        <v>7</v>
      </c>
      <c r="E380" s="3">
        <v>1</v>
      </c>
    </row>
    <row r="381" spans="1:5">
      <c r="A381" s="2" t="s">
        <v>5045</v>
      </c>
      <c r="B381" s="32">
        <v>20160222</v>
      </c>
      <c r="C381" s="32" t="s">
        <v>96</v>
      </c>
      <c r="D381" s="33" t="s">
        <v>7</v>
      </c>
      <c r="E381" s="3">
        <v>1</v>
      </c>
    </row>
    <row r="382" spans="1:5">
      <c r="A382" s="2" t="s">
        <v>5045</v>
      </c>
      <c r="B382" s="2">
        <v>20040221</v>
      </c>
      <c r="C382" s="2" t="s">
        <v>305</v>
      </c>
      <c r="D382" s="34" t="s">
        <v>7</v>
      </c>
      <c r="E382" s="3">
        <v>1</v>
      </c>
    </row>
    <row r="383" spans="1:5">
      <c r="A383" s="2" t="s">
        <v>5045</v>
      </c>
      <c r="B383" s="2">
        <v>20051806</v>
      </c>
      <c r="C383" s="2" t="s">
        <v>2478</v>
      </c>
      <c r="D383" s="34" t="s">
        <v>7</v>
      </c>
      <c r="E383" s="3">
        <v>1</v>
      </c>
    </row>
    <row r="384" spans="1:5">
      <c r="A384" s="2" t="s">
        <v>5045</v>
      </c>
      <c r="B384" s="2">
        <v>20051807</v>
      </c>
      <c r="C384" s="2" t="s">
        <v>2478</v>
      </c>
      <c r="D384" s="34" t="s">
        <v>7</v>
      </c>
      <c r="E384" s="3">
        <v>1</v>
      </c>
    </row>
    <row r="385" spans="1:5">
      <c r="A385" s="2" t="s">
        <v>5045</v>
      </c>
      <c r="B385" s="2">
        <v>20051808</v>
      </c>
      <c r="C385" s="2" t="s">
        <v>5067</v>
      </c>
      <c r="D385" s="34" t="s">
        <v>7</v>
      </c>
      <c r="E385" s="3">
        <v>1</v>
      </c>
    </row>
    <row r="386" spans="1:5">
      <c r="A386" s="2" t="s">
        <v>5045</v>
      </c>
      <c r="B386" s="2">
        <v>20140775</v>
      </c>
      <c r="C386" s="2" t="s">
        <v>49</v>
      </c>
      <c r="D386" s="34" t="s">
        <v>7</v>
      </c>
      <c r="E386" s="3">
        <v>1</v>
      </c>
    </row>
    <row r="387" spans="1:5">
      <c r="A387" s="2" t="s">
        <v>5045</v>
      </c>
      <c r="B387" s="2">
        <v>20140782</v>
      </c>
      <c r="C387" s="2" t="s">
        <v>5068</v>
      </c>
      <c r="D387" s="34" t="s">
        <v>7</v>
      </c>
      <c r="E387" s="3">
        <v>1</v>
      </c>
    </row>
    <row r="388" spans="1:5">
      <c r="A388" s="2" t="s">
        <v>5045</v>
      </c>
      <c r="B388" s="2">
        <v>20140783</v>
      </c>
      <c r="C388" s="2" t="s">
        <v>5069</v>
      </c>
      <c r="D388" s="34" t="s">
        <v>7</v>
      </c>
      <c r="E388" s="3">
        <v>1</v>
      </c>
    </row>
    <row r="389" spans="1:5">
      <c r="A389" s="2" t="s">
        <v>5045</v>
      </c>
      <c r="B389" s="2">
        <v>20140784</v>
      </c>
      <c r="C389" s="2" t="s">
        <v>5070</v>
      </c>
      <c r="D389" s="34" t="s">
        <v>7</v>
      </c>
      <c r="E389" s="3">
        <v>1</v>
      </c>
    </row>
    <row r="390" spans="1:5">
      <c r="A390" s="2" t="s">
        <v>5045</v>
      </c>
      <c r="B390" s="2">
        <v>20150036</v>
      </c>
      <c r="C390" s="2" t="s">
        <v>95</v>
      </c>
      <c r="D390" s="34" t="s">
        <v>7</v>
      </c>
      <c r="E390" s="3">
        <v>1</v>
      </c>
    </row>
    <row r="391" spans="1:5">
      <c r="A391" s="2" t="s">
        <v>5045</v>
      </c>
      <c r="B391" s="2">
        <v>20150037</v>
      </c>
      <c r="C391" s="2" t="s">
        <v>95</v>
      </c>
      <c r="D391" s="34" t="s">
        <v>7</v>
      </c>
      <c r="E391" s="3">
        <v>1</v>
      </c>
    </row>
    <row r="392" spans="1:5">
      <c r="A392" s="2" t="s">
        <v>5045</v>
      </c>
      <c r="B392" s="2">
        <v>20150038</v>
      </c>
      <c r="C392" s="2" t="s">
        <v>95</v>
      </c>
      <c r="D392" s="34" t="s">
        <v>7</v>
      </c>
      <c r="E392" s="3">
        <v>1</v>
      </c>
    </row>
    <row r="393" spans="1:5">
      <c r="A393" s="2" t="s">
        <v>5045</v>
      </c>
      <c r="B393" s="2">
        <v>20150041</v>
      </c>
      <c r="C393" s="2" t="s">
        <v>305</v>
      </c>
      <c r="D393" s="34" t="s">
        <v>7</v>
      </c>
      <c r="E393" s="3">
        <v>1</v>
      </c>
    </row>
    <row r="394" spans="1:5">
      <c r="A394" s="2" t="s">
        <v>5045</v>
      </c>
      <c r="B394" s="2">
        <v>20150042</v>
      </c>
      <c r="C394" s="2" t="s">
        <v>305</v>
      </c>
      <c r="D394" s="34" t="s">
        <v>7</v>
      </c>
      <c r="E394" s="3">
        <v>1</v>
      </c>
    </row>
    <row r="395" spans="1:5">
      <c r="A395" s="2" t="s">
        <v>5045</v>
      </c>
      <c r="B395" s="2">
        <v>20150077</v>
      </c>
      <c r="C395" s="2" t="s">
        <v>5071</v>
      </c>
      <c r="D395" s="34" t="s">
        <v>7</v>
      </c>
      <c r="E395" s="3">
        <v>1</v>
      </c>
    </row>
    <row r="396" spans="1:5">
      <c r="A396" s="2" t="s">
        <v>5045</v>
      </c>
      <c r="B396" s="2">
        <v>20150078</v>
      </c>
      <c r="C396" s="2" t="s">
        <v>5072</v>
      </c>
      <c r="D396" s="34" t="s">
        <v>7</v>
      </c>
      <c r="E396" s="3">
        <v>1</v>
      </c>
    </row>
    <row r="397" spans="1:5">
      <c r="A397" s="2" t="s">
        <v>5045</v>
      </c>
      <c r="B397" s="2">
        <v>20161229</v>
      </c>
      <c r="C397" s="2" t="s">
        <v>5073</v>
      </c>
      <c r="D397" s="34" t="s">
        <v>7</v>
      </c>
      <c r="E397" s="3">
        <v>1</v>
      </c>
    </row>
    <row r="398" spans="1:5">
      <c r="A398" s="2" t="s">
        <v>5045</v>
      </c>
      <c r="B398" s="2">
        <v>20150079</v>
      </c>
      <c r="C398" s="2" t="s">
        <v>5074</v>
      </c>
      <c r="D398" s="34" t="s">
        <v>7</v>
      </c>
      <c r="E398" s="3">
        <v>1</v>
      </c>
    </row>
    <row r="399" spans="1:5">
      <c r="A399" s="2" t="s">
        <v>5045</v>
      </c>
      <c r="B399" s="2">
        <v>20051092</v>
      </c>
      <c r="C399" s="2" t="s">
        <v>305</v>
      </c>
      <c r="D399" s="34" t="s">
        <v>7</v>
      </c>
      <c r="E399" s="3">
        <v>1</v>
      </c>
    </row>
    <row r="400" spans="1:5">
      <c r="A400" s="2" t="s">
        <v>5045</v>
      </c>
      <c r="B400" s="2">
        <v>20060471</v>
      </c>
      <c r="C400" s="2" t="s">
        <v>305</v>
      </c>
      <c r="D400" s="34" t="s">
        <v>7</v>
      </c>
      <c r="E400" s="3">
        <v>1</v>
      </c>
    </row>
    <row r="401" spans="1:5">
      <c r="A401" s="2" t="s">
        <v>5045</v>
      </c>
      <c r="B401" s="2">
        <v>20060472</v>
      </c>
      <c r="C401" s="2" t="s">
        <v>305</v>
      </c>
      <c r="D401" s="34" t="s">
        <v>7</v>
      </c>
      <c r="E401" s="3">
        <v>1</v>
      </c>
    </row>
    <row r="402" spans="1:5">
      <c r="A402" s="2" t="s">
        <v>5045</v>
      </c>
      <c r="B402" s="2">
        <v>20060477</v>
      </c>
      <c r="C402" s="2" t="s">
        <v>305</v>
      </c>
      <c r="D402" s="34" t="s">
        <v>7</v>
      </c>
      <c r="E402" s="3">
        <v>1</v>
      </c>
    </row>
    <row r="403" spans="1:5">
      <c r="A403" s="2" t="s">
        <v>5045</v>
      </c>
      <c r="B403" s="2">
        <v>20080111</v>
      </c>
      <c r="C403" s="2" t="s">
        <v>772</v>
      </c>
      <c r="D403" s="34" t="s">
        <v>7</v>
      </c>
      <c r="E403" s="3">
        <v>1</v>
      </c>
    </row>
    <row r="404" spans="1:5">
      <c r="A404" s="2" t="s">
        <v>5045</v>
      </c>
      <c r="B404" s="2">
        <v>20161218</v>
      </c>
      <c r="C404" s="2" t="s">
        <v>5075</v>
      </c>
      <c r="D404" s="34" t="s">
        <v>7</v>
      </c>
      <c r="E404" s="3">
        <v>1</v>
      </c>
    </row>
    <row r="405" spans="1:5">
      <c r="A405" s="2" t="s">
        <v>5045</v>
      </c>
      <c r="B405" s="2">
        <v>20161219</v>
      </c>
      <c r="C405" s="2" t="s">
        <v>5076</v>
      </c>
      <c r="D405" s="34" t="s">
        <v>7</v>
      </c>
      <c r="E405" s="3">
        <v>1</v>
      </c>
    </row>
    <row r="406" spans="1:5">
      <c r="A406" s="2" t="s">
        <v>5045</v>
      </c>
      <c r="B406" s="2">
        <v>20161220</v>
      </c>
      <c r="C406" s="2" t="s">
        <v>5077</v>
      </c>
      <c r="D406" s="34" t="s">
        <v>7</v>
      </c>
      <c r="E406" s="3">
        <v>1</v>
      </c>
    </row>
    <row r="407" spans="1:5">
      <c r="A407" s="2" t="s">
        <v>5045</v>
      </c>
      <c r="B407" s="2">
        <v>20170002</v>
      </c>
      <c r="C407" s="2" t="s">
        <v>5078</v>
      </c>
      <c r="D407" s="34" t="s">
        <v>7</v>
      </c>
      <c r="E407" s="3">
        <v>1</v>
      </c>
    </row>
    <row r="408" spans="1:5">
      <c r="A408" s="2" t="s">
        <v>5045</v>
      </c>
      <c r="B408" s="2">
        <v>20170003</v>
      </c>
      <c r="C408" s="2" t="s">
        <v>5078</v>
      </c>
      <c r="D408" s="34" t="s">
        <v>7</v>
      </c>
      <c r="E408" s="3">
        <v>1</v>
      </c>
    </row>
    <row r="409" spans="1:5">
      <c r="A409" s="2" t="s">
        <v>5045</v>
      </c>
      <c r="B409" s="2">
        <v>20170004</v>
      </c>
      <c r="C409" s="2" t="s">
        <v>5078</v>
      </c>
      <c r="D409" s="34" t="s">
        <v>7</v>
      </c>
      <c r="E409" s="3">
        <v>1</v>
      </c>
    </row>
    <row r="410" spans="1:5">
      <c r="A410" s="2" t="s">
        <v>5045</v>
      </c>
      <c r="B410" s="2">
        <v>20170005</v>
      </c>
      <c r="C410" s="2" t="s">
        <v>5078</v>
      </c>
      <c r="D410" s="34" t="s">
        <v>7</v>
      </c>
      <c r="E410" s="3">
        <v>1</v>
      </c>
    </row>
    <row r="411" spans="1:5">
      <c r="A411" s="2" t="s">
        <v>5045</v>
      </c>
      <c r="B411" s="2">
        <v>20170006</v>
      </c>
      <c r="C411" s="2" t="s">
        <v>903</v>
      </c>
      <c r="D411" s="34" t="s">
        <v>7</v>
      </c>
      <c r="E411" s="3">
        <v>1</v>
      </c>
    </row>
    <row r="412" spans="1:5">
      <c r="A412" s="2" t="s">
        <v>5045</v>
      </c>
      <c r="B412" s="2">
        <v>20170007</v>
      </c>
      <c r="C412" s="2" t="s">
        <v>5079</v>
      </c>
      <c r="D412" s="34" t="s">
        <v>7</v>
      </c>
      <c r="E412" s="3">
        <v>1</v>
      </c>
    </row>
    <row r="413" spans="1:5">
      <c r="A413" s="2" t="s">
        <v>5045</v>
      </c>
      <c r="B413" s="2">
        <v>20170008</v>
      </c>
      <c r="C413" s="2" t="s">
        <v>5079</v>
      </c>
      <c r="D413" s="34" t="s">
        <v>7</v>
      </c>
      <c r="E413" s="3">
        <v>1</v>
      </c>
    </row>
    <row r="414" spans="1:5">
      <c r="A414" s="2" t="s">
        <v>5045</v>
      </c>
      <c r="B414" s="2">
        <v>20170009</v>
      </c>
      <c r="C414" s="2" t="s">
        <v>5079</v>
      </c>
      <c r="D414" s="34" t="s">
        <v>7</v>
      </c>
      <c r="E414" s="3">
        <v>1</v>
      </c>
    </row>
    <row r="415" spans="1:5">
      <c r="A415" s="2" t="s">
        <v>5045</v>
      </c>
      <c r="B415" s="2">
        <v>20170010</v>
      </c>
      <c r="C415" s="2" t="s">
        <v>5079</v>
      </c>
      <c r="D415" s="34" t="s">
        <v>7</v>
      </c>
      <c r="E415" s="3">
        <v>1</v>
      </c>
    </row>
    <row r="416" spans="1:5">
      <c r="A416" s="2" t="s">
        <v>5045</v>
      </c>
      <c r="B416" s="2">
        <v>20170011</v>
      </c>
      <c r="C416" s="2" t="s">
        <v>5080</v>
      </c>
      <c r="D416" s="34" t="s">
        <v>7</v>
      </c>
      <c r="E416" s="3">
        <v>1</v>
      </c>
    </row>
    <row r="417" spans="1:5">
      <c r="A417" s="2" t="s">
        <v>5045</v>
      </c>
      <c r="B417" s="2">
        <v>20170012</v>
      </c>
      <c r="C417" s="2" t="s">
        <v>5080</v>
      </c>
      <c r="D417" s="34" t="s">
        <v>7</v>
      </c>
      <c r="E417" s="3">
        <v>1</v>
      </c>
    </row>
    <row r="418" spans="1:5">
      <c r="A418" s="2" t="s">
        <v>5045</v>
      </c>
      <c r="B418" s="2">
        <v>20170020</v>
      </c>
      <c r="C418" s="2" t="s">
        <v>49</v>
      </c>
      <c r="D418" s="34" t="s">
        <v>7</v>
      </c>
      <c r="E418" s="3">
        <v>1</v>
      </c>
    </row>
    <row r="419" spans="1:5">
      <c r="A419" s="2" t="s">
        <v>5045</v>
      </c>
      <c r="B419" s="2">
        <v>20170027</v>
      </c>
      <c r="C419" s="2" t="s">
        <v>5081</v>
      </c>
      <c r="D419" s="34" t="s">
        <v>7</v>
      </c>
      <c r="E419" s="3">
        <v>1</v>
      </c>
    </row>
    <row r="420" spans="1:5">
      <c r="A420" s="2" t="s">
        <v>5045</v>
      </c>
      <c r="B420" s="2">
        <v>20170028</v>
      </c>
      <c r="C420" s="2" t="s">
        <v>5081</v>
      </c>
      <c r="D420" s="34" t="s">
        <v>7</v>
      </c>
      <c r="E420" s="3">
        <v>1</v>
      </c>
    </row>
    <row r="421" spans="1:5">
      <c r="A421" s="2" t="s">
        <v>5045</v>
      </c>
      <c r="B421" s="2">
        <v>20170029</v>
      </c>
      <c r="C421" s="2" t="s">
        <v>5081</v>
      </c>
      <c r="D421" s="34" t="s">
        <v>7</v>
      </c>
      <c r="E421" s="3">
        <v>1</v>
      </c>
    </row>
    <row r="422" spans="1:5">
      <c r="A422" s="2" t="s">
        <v>5045</v>
      </c>
      <c r="B422" s="2">
        <v>20170030</v>
      </c>
      <c r="C422" s="2" t="s">
        <v>5081</v>
      </c>
      <c r="D422" s="34" t="s">
        <v>7</v>
      </c>
      <c r="E422" s="3">
        <v>1</v>
      </c>
    </row>
    <row r="423" spans="1:5">
      <c r="A423" s="2" t="s">
        <v>5045</v>
      </c>
      <c r="B423" s="2">
        <v>20170031</v>
      </c>
      <c r="C423" s="2" t="s">
        <v>5082</v>
      </c>
      <c r="D423" s="34" t="s">
        <v>7</v>
      </c>
      <c r="E423" s="3">
        <v>1</v>
      </c>
    </row>
    <row r="424" spans="1:5">
      <c r="A424" s="2" t="s">
        <v>5045</v>
      </c>
      <c r="B424" s="2">
        <v>20170032</v>
      </c>
      <c r="C424" s="2" t="s">
        <v>49</v>
      </c>
      <c r="D424" s="34" t="s">
        <v>7</v>
      </c>
      <c r="E424" s="3">
        <v>1</v>
      </c>
    </row>
    <row r="425" spans="1:5">
      <c r="A425" s="2" t="s">
        <v>5045</v>
      </c>
      <c r="B425" s="2">
        <v>20170335</v>
      </c>
      <c r="C425" s="2" t="s">
        <v>96</v>
      </c>
      <c r="D425" s="34" t="s">
        <v>7</v>
      </c>
      <c r="E425" s="3">
        <v>1</v>
      </c>
    </row>
    <row r="426" spans="1:5">
      <c r="A426" s="2" t="s">
        <v>5045</v>
      </c>
      <c r="B426" s="2">
        <v>20170414</v>
      </c>
      <c r="C426" s="2" t="s">
        <v>5083</v>
      </c>
      <c r="D426" s="34" t="s">
        <v>7</v>
      </c>
      <c r="E426" s="3">
        <v>1</v>
      </c>
    </row>
    <row r="427" spans="1:5">
      <c r="A427" s="2" t="s">
        <v>5045</v>
      </c>
      <c r="B427" s="2">
        <v>20211512</v>
      </c>
      <c r="C427" s="2" t="s">
        <v>35</v>
      </c>
      <c r="D427" s="34" t="s">
        <v>7</v>
      </c>
      <c r="E427" s="3">
        <v>1</v>
      </c>
    </row>
    <row r="428" spans="1:5">
      <c r="A428" s="2" t="s">
        <v>5045</v>
      </c>
      <c r="B428" s="2">
        <v>20020897</v>
      </c>
      <c r="C428" s="2" t="s">
        <v>305</v>
      </c>
      <c r="D428" s="34" t="s">
        <v>7</v>
      </c>
      <c r="E428" s="3">
        <v>1</v>
      </c>
    </row>
    <row r="429" spans="1:5">
      <c r="A429" s="2" t="s">
        <v>5045</v>
      </c>
      <c r="B429" s="2">
        <v>20020898</v>
      </c>
      <c r="C429" s="2" t="s">
        <v>305</v>
      </c>
      <c r="D429" s="34" t="s">
        <v>7</v>
      </c>
      <c r="E429" s="3">
        <v>1</v>
      </c>
    </row>
    <row r="430" spans="1:5">
      <c r="A430" s="2" t="s">
        <v>5045</v>
      </c>
      <c r="B430" s="2">
        <v>20020926</v>
      </c>
      <c r="C430" s="2" t="s">
        <v>305</v>
      </c>
      <c r="D430" s="34" t="s">
        <v>7</v>
      </c>
      <c r="E430" s="3">
        <v>1</v>
      </c>
    </row>
    <row r="431" spans="1:5">
      <c r="A431" s="2" t="s">
        <v>5045</v>
      </c>
      <c r="B431" s="2">
        <v>20050367</v>
      </c>
      <c r="C431" s="2" t="s">
        <v>364</v>
      </c>
      <c r="D431" s="34" t="s">
        <v>7</v>
      </c>
      <c r="E431" s="3">
        <v>1</v>
      </c>
    </row>
    <row r="432" spans="1:5">
      <c r="A432" s="2" t="s">
        <v>5045</v>
      </c>
      <c r="B432" s="2">
        <v>20090185</v>
      </c>
      <c r="C432" s="2" t="s">
        <v>305</v>
      </c>
      <c r="D432" s="34" t="s">
        <v>7</v>
      </c>
      <c r="E432" s="3">
        <v>1</v>
      </c>
    </row>
    <row r="433" spans="1:5">
      <c r="A433" s="2" t="s">
        <v>5045</v>
      </c>
      <c r="B433" s="2">
        <v>20161113</v>
      </c>
      <c r="C433" s="2" t="s">
        <v>5084</v>
      </c>
      <c r="D433" s="34" t="s">
        <v>7</v>
      </c>
      <c r="E433" s="3">
        <v>1</v>
      </c>
    </row>
    <row r="434" spans="1:5">
      <c r="A434" s="2" t="s">
        <v>5045</v>
      </c>
      <c r="B434" s="2">
        <v>20161114</v>
      </c>
      <c r="C434" s="2" t="s">
        <v>5085</v>
      </c>
      <c r="D434" s="34" t="s">
        <v>7</v>
      </c>
      <c r="E434" s="3">
        <v>1</v>
      </c>
    </row>
    <row r="435" spans="1:5">
      <c r="A435" s="2" t="s">
        <v>5045</v>
      </c>
      <c r="B435" s="2">
        <v>20160070</v>
      </c>
      <c r="C435" s="2" t="s">
        <v>49</v>
      </c>
      <c r="D435" s="34" t="s">
        <v>7</v>
      </c>
      <c r="E435" s="3">
        <v>1</v>
      </c>
    </row>
    <row r="436" spans="1:5">
      <c r="A436" s="2" t="s">
        <v>5045</v>
      </c>
      <c r="B436" s="2">
        <v>20210714</v>
      </c>
      <c r="C436" s="2" t="s">
        <v>5048</v>
      </c>
      <c r="D436" s="34" t="s">
        <v>7</v>
      </c>
      <c r="E436" s="3">
        <v>1</v>
      </c>
    </row>
    <row r="437" spans="1:5">
      <c r="A437" s="2" t="s">
        <v>5045</v>
      </c>
      <c r="B437" s="2">
        <v>20221031</v>
      </c>
      <c r="C437" s="2" t="s">
        <v>305</v>
      </c>
      <c r="D437" s="34" t="s">
        <v>7</v>
      </c>
      <c r="E437" s="3">
        <v>1</v>
      </c>
    </row>
    <row r="438" spans="1:5">
      <c r="A438" s="2" t="s">
        <v>5045</v>
      </c>
      <c r="B438" s="2">
        <v>20221032</v>
      </c>
      <c r="C438" s="2" t="s">
        <v>305</v>
      </c>
      <c r="D438" s="34" t="s">
        <v>7</v>
      </c>
      <c r="E438" s="3">
        <v>1</v>
      </c>
    </row>
    <row r="439" spans="1:5">
      <c r="A439" s="2" t="s">
        <v>5045</v>
      </c>
      <c r="B439" s="2">
        <v>20221033</v>
      </c>
      <c r="C439" s="2" t="s">
        <v>305</v>
      </c>
      <c r="D439" s="34" t="s">
        <v>7</v>
      </c>
      <c r="E439" s="3">
        <v>1</v>
      </c>
    </row>
    <row r="440" spans="1:5">
      <c r="A440" s="2" t="s">
        <v>5045</v>
      </c>
      <c r="B440" s="2">
        <v>20221034</v>
      </c>
      <c r="C440" s="2" t="s">
        <v>305</v>
      </c>
      <c r="D440" s="34" t="s">
        <v>7</v>
      </c>
      <c r="E440" s="3">
        <v>1</v>
      </c>
    </row>
    <row r="441" spans="1:5">
      <c r="A441" s="2" t="s">
        <v>5045</v>
      </c>
      <c r="B441" s="2">
        <v>20221035</v>
      </c>
      <c r="C441" s="2" t="s">
        <v>305</v>
      </c>
      <c r="D441" s="34" t="s">
        <v>7</v>
      </c>
      <c r="E441" s="3">
        <v>1</v>
      </c>
    </row>
    <row r="442" spans="1:5">
      <c r="A442" s="2" t="s">
        <v>5045</v>
      </c>
      <c r="B442" s="31"/>
      <c r="C442" s="3" t="s">
        <v>234</v>
      </c>
      <c r="D442" s="31"/>
      <c r="E442" s="3">
        <v>1</v>
      </c>
    </row>
    <row r="443" spans="1:6">
      <c r="A443" s="35"/>
      <c r="B443" s="35"/>
      <c r="C443" s="35"/>
      <c r="D443" s="35"/>
      <c r="E443" s="35"/>
      <c r="F443" s="35"/>
    </row>
    <row r="444" spans="1:6">
      <c r="A444" s="35"/>
      <c r="B444" s="35"/>
      <c r="C444" s="35"/>
      <c r="D444" s="35"/>
      <c r="E444" s="35"/>
      <c r="F444" s="35"/>
    </row>
    <row r="445" spans="1:6">
      <c r="A445" s="35"/>
      <c r="B445" s="35"/>
      <c r="C445" s="35"/>
      <c r="D445" s="35"/>
      <c r="E445" s="35"/>
      <c r="F445" s="35"/>
    </row>
    <row r="446" spans="1:6">
      <c r="A446" s="35"/>
      <c r="B446" s="35"/>
      <c r="C446" s="35"/>
      <c r="D446" s="35"/>
      <c r="E446" s="35"/>
      <c r="F446" s="35"/>
    </row>
    <row r="447" spans="1:6">
      <c r="A447" s="35"/>
      <c r="B447" s="35"/>
      <c r="C447" s="35"/>
      <c r="D447" s="35"/>
      <c r="E447" s="35"/>
      <c r="F447" s="35"/>
    </row>
    <row r="448" spans="1:6">
      <c r="A448" s="35"/>
      <c r="B448" s="35"/>
      <c r="C448" s="35"/>
      <c r="D448" s="35"/>
      <c r="E448" s="35"/>
      <c r="F448" s="35"/>
    </row>
    <row r="449" spans="1:6">
      <c r="A449" s="35"/>
      <c r="B449" s="35"/>
      <c r="C449" s="35"/>
      <c r="D449" s="35"/>
      <c r="E449" s="35"/>
      <c r="F449" s="35"/>
    </row>
    <row r="450" spans="1:6">
      <c r="A450" s="35"/>
      <c r="B450" s="35"/>
      <c r="C450" s="35"/>
      <c r="D450" s="35"/>
      <c r="E450" s="35"/>
      <c r="F450" s="35"/>
    </row>
    <row r="451" spans="1:6">
      <c r="A451" s="35"/>
      <c r="B451" s="35"/>
      <c r="C451" s="35"/>
      <c r="D451" s="35"/>
      <c r="E451" s="35"/>
      <c r="F451" s="35"/>
    </row>
    <row r="452" spans="1:6">
      <c r="A452" s="35"/>
      <c r="B452" s="35"/>
      <c r="C452" s="35"/>
      <c r="D452" s="35"/>
      <c r="E452" s="35"/>
      <c r="F452" s="35"/>
    </row>
    <row r="453" spans="1:6">
      <c r="A453" s="35"/>
      <c r="B453" s="35"/>
      <c r="C453" s="35"/>
      <c r="D453" s="35"/>
      <c r="E453" s="35"/>
      <c r="F453" s="35"/>
    </row>
    <row r="454" spans="1:6">
      <c r="A454" s="35"/>
      <c r="B454" s="35"/>
      <c r="C454" s="35"/>
      <c r="D454" s="35"/>
      <c r="E454" s="35"/>
      <c r="F454" s="35"/>
    </row>
    <row r="455" spans="1:6">
      <c r="A455" s="35"/>
      <c r="B455" s="35"/>
      <c r="C455" s="35"/>
      <c r="D455" s="35"/>
      <c r="E455" s="35"/>
      <c r="F455" s="35"/>
    </row>
    <row r="456" spans="1:6">
      <c r="A456" s="35"/>
      <c r="B456" s="35"/>
      <c r="C456" s="35"/>
      <c r="D456" s="35"/>
      <c r="E456" s="35"/>
      <c r="F456" s="35"/>
    </row>
    <row r="457" spans="1:6">
      <c r="A457" s="35"/>
      <c r="B457" s="35"/>
      <c r="C457" s="35"/>
      <c r="D457" s="35"/>
      <c r="E457" s="35"/>
      <c r="F457" s="35"/>
    </row>
    <row r="458" spans="1:6">
      <c r="A458" s="35"/>
      <c r="B458" s="35"/>
      <c r="C458" s="35"/>
      <c r="D458" s="35"/>
      <c r="E458" s="35"/>
      <c r="F458" s="35"/>
    </row>
    <row r="459" spans="1:6">
      <c r="A459" s="35"/>
      <c r="B459" s="35"/>
      <c r="C459" s="35"/>
      <c r="D459" s="35"/>
      <c r="E459" s="35"/>
      <c r="F459" s="35"/>
    </row>
    <row r="460" spans="1:6">
      <c r="A460" s="35"/>
      <c r="B460" s="35"/>
      <c r="C460" s="35"/>
      <c r="D460" s="35"/>
      <c r="E460" s="35"/>
      <c r="F460" s="35"/>
    </row>
    <row r="461" spans="1:6">
      <c r="A461" s="35"/>
      <c r="B461" s="35"/>
      <c r="C461" s="35"/>
      <c r="D461" s="35"/>
      <c r="E461" s="35"/>
      <c r="F461" s="35"/>
    </row>
    <row r="462" spans="1:6">
      <c r="A462" s="35"/>
      <c r="B462" s="35"/>
      <c r="C462" s="35"/>
      <c r="D462" s="35"/>
      <c r="E462" s="35"/>
      <c r="F462" s="35"/>
    </row>
    <row r="463" spans="1:6">
      <c r="A463" s="35"/>
      <c r="B463" s="35"/>
      <c r="C463" s="35"/>
      <c r="D463" s="35"/>
      <c r="E463" s="35"/>
      <c r="F463" s="35"/>
    </row>
    <row r="464" spans="1:6">
      <c r="A464" s="35"/>
      <c r="B464" s="35"/>
      <c r="C464" s="35"/>
      <c r="D464" s="35"/>
      <c r="E464" s="35"/>
      <c r="F464" s="35"/>
    </row>
    <row r="465" spans="1:6">
      <c r="A465" s="35"/>
      <c r="B465" s="35"/>
      <c r="C465" s="35"/>
      <c r="D465" s="35"/>
      <c r="E465" s="35"/>
      <c r="F465" s="35"/>
    </row>
    <row r="466" spans="1:6">
      <c r="A466" s="35"/>
      <c r="B466" s="35"/>
      <c r="C466" s="35"/>
      <c r="D466" s="35"/>
      <c r="E466" s="35"/>
      <c r="F466" s="35"/>
    </row>
    <row r="467" spans="1:6">
      <c r="A467" s="35"/>
      <c r="B467" s="35"/>
      <c r="C467" s="35"/>
      <c r="D467" s="35"/>
      <c r="E467" s="35"/>
      <c r="F467" s="35"/>
    </row>
    <row r="468" spans="1:6">
      <c r="A468" s="35"/>
      <c r="B468" s="35"/>
      <c r="C468" s="35"/>
      <c r="D468" s="35"/>
      <c r="E468" s="35"/>
      <c r="F468" s="35"/>
    </row>
    <row r="469" spans="1:6">
      <c r="A469" s="35"/>
      <c r="B469" s="35"/>
      <c r="C469" s="35"/>
      <c r="D469" s="35"/>
      <c r="E469" s="35"/>
      <c r="F469" s="35"/>
    </row>
    <row r="470" spans="1:6">
      <c r="A470" s="35"/>
      <c r="B470" s="35"/>
      <c r="C470" s="35"/>
      <c r="D470" s="35"/>
      <c r="E470" s="35"/>
      <c r="F470" s="35"/>
    </row>
    <row r="471" spans="1:6">
      <c r="A471" s="35"/>
      <c r="B471" s="35"/>
      <c r="C471" s="35"/>
      <c r="D471" s="35"/>
      <c r="E471" s="35"/>
      <c r="F471" s="35"/>
    </row>
    <row r="472" spans="1:6">
      <c r="A472" s="35"/>
      <c r="B472" s="35"/>
      <c r="C472" s="35"/>
      <c r="D472" s="35"/>
      <c r="E472" s="35"/>
      <c r="F472" s="35"/>
    </row>
    <row r="473" spans="1:6">
      <c r="A473" s="35"/>
      <c r="B473" s="35"/>
      <c r="C473" s="35"/>
      <c r="D473" s="35"/>
      <c r="E473" s="35"/>
      <c r="F473" s="35"/>
    </row>
    <row r="474" spans="1:6">
      <c r="A474" s="35"/>
      <c r="B474" s="35"/>
      <c r="C474" s="35"/>
      <c r="D474" s="35"/>
      <c r="E474" s="35"/>
      <c r="F474" s="35"/>
    </row>
    <row r="475" spans="1:6">
      <c r="A475" s="35"/>
      <c r="B475" s="35"/>
      <c r="C475" s="35"/>
      <c r="D475" s="35"/>
      <c r="E475" s="35"/>
      <c r="F475" s="35"/>
    </row>
    <row r="476" spans="1:6">
      <c r="A476" s="35"/>
      <c r="B476" s="35"/>
      <c r="C476" s="35"/>
      <c r="D476" s="35"/>
      <c r="E476" s="35"/>
      <c r="F476" s="35"/>
    </row>
    <row r="477" spans="1:6">
      <c r="A477" s="35"/>
      <c r="B477" s="35"/>
      <c r="C477" s="35"/>
      <c r="D477" s="35"/>
      <c r="E477" s="35"/>
      <c r="F477" s="35"/>
    </row>
    <row r="478" spans="1:6">
      <c r="A478" s="35"/>
      <c r="B478" s="35"/>
      <c r="C478" s="35"/>
      <c r="D478" s="35"/>
      <c r="E478" s="35"/>
      <c r="F478" s="35"/>
    </row>
    <row r="479" spans="1:6">
      <c r="A479" s="35"/>
      <c r="B479" s="35"/>
      <c r="C479" s="35"/>
      <c r="D479" s="35"/>
      <c r="E479" s="35"/>
      <c r="F479" s="35"/>
    </row>
    <row r="480" spans="1:6">
      <c r="A480" s="35"/>
      <c r="B480" s="35"/>
      <c r="C480" s="35"/>
      <c r="D480" s="35"/>
      <c r="E480" s="35"/>
      <c r="F480" s="35"/>
    </row>
    <row r="481" spans="1:6">
      <c r="A481" s="35"/>
      <c r="B481" s="35"/>
      <c r="C481" s="35"/>
      <c r="D481" s="35"/>
      <c r="E481" s="35"/>
      <c r="F481" s="35"/>
    </row>
    <row r="482" spans="1:6">
      <c r="A482" s="35"/>
      <c r="B482" s="35"/>
      <c r="C482" s="35"/>
      <c r="D482" s="35"/>
      <c r="E482" s="35"/>
      <c r="F482" s="35"/>
    </row>
    <row r="483" spans="1:6">
      <c r="A483" s="35"/>
      <c r="B483" s="35"/>
      <c r="C483" s="35"/>
      <c r="D483" s="35"/>
      <c r="E483" s="35"/>
      <c r="F483" s="35"/>
    </row>
    <row r="484" spans="1:6">
      <c r="A484" s="35"/>
      <c r="B484" s="35"/>
      <c r="C484" s="35"/>
      <c r="D484" s="35"/>
      <c r="E484" s="35"/>
      <c r="F484" s="35"/>
    </row>
    <row r="485" spans="1:6">
      <c r="A485" s="35"/>
      <c r="B485" s="35"/>
      <c r="C485" s="35"/>
      <c r="D485" s="35"/>
      <c r="E485" s="35"/>
      <c r="F485" s="35"/>
    </row>
    <row r="486" spans="1:6">
      <c r="A486" s="35"/>
      <c r="B486" s="35"/>
      <c r="C486" s="35"/>
      <c r="D486" s="35"/>
      <c r="E486" s="35"/>
      <c r="F486" s="35"/>
    </row>
    <row r="487" spans="1:6">
      <c r="A487" s="35"/>
      <c r="B487" s="35"/>
      <c r="C487" s="35"/>
      <c r="D487" s="35"/>
      <c r="E487" s="35"/>
      <c r="F487" s="35"/>
    </row>
    <row r="488" spans="1:6">
      <c r="A488" s="35"/>
      <c r="B488" s="35"/>
      <c r="C488" s="35"/>
      <c r="D488" s="35"/>
      <c r="E488" s="35"/>
      <c r="F488" s="35"/>
    </row>
    <row r="489" spans="1:6">
      <c r="A489" s="35"/>
      <c r="B489" s="35"/>
      <c r="C489" s="35"/>
      <c r="D489" s="35"/>
      <c r="E489" s="35"/>
      <c r="F489" s="35"/>
    </row>
    <row r="490" spans="1:6">
      <c r="A490" s="35"/>
      <c r="B490" s="35"/>
      <c r="C490" s="35"/>
      <c r="D490" s="35"/>
      <c r="E490" s="35"/>
      <c r="F490" s="35"/>
    </row>
    <row r="491" spans="1:6">
      <c r="A491" s="35"/>
      <c r="B491" s="35"/>
      <c r="C491" s="35"/>
      <c r="D491" s="35"/>
      <c r="E491" s="35"/>
      <c r="F491" s="35"/>
    </row>
    <row r="492" spans="1:6">
      <c r="A492" s="35"/>
      <c r="B492" s="35"/>
      <c r="C492" s="35"/>
      <c r="D492" s="35"/>
      <c r="E492" s="35"/>
      <c r="F492" s="35"/>
    </row>
    <row r="493" spans="1:6">
      <c r="A493" s="35"/>
      <c r="B493" s="35"/>
      <c r="C493" s="35"/>
      <c r="D493" s="35"/>
      <c r="E493" s="35"/>
      <c r="F493" s="35"/>
    </row>
    <row r="494" spans="1:6">
      <c r="A494" s="35"/>
      <c r="B494" s="35"/>
      <c r="C494" s="35"/>
      <c r="D494" s="35"/>
      <c r="E494" s="35"/>
      <c r="F494" s="35"/>
    </row>
    <row r="495" spans="1:6">
      <c r="A495" s="35"/>
      <c r="B495" s="35"/>
      <c r="C495" s="35"/>
      <c r="D495" s="35"/>
      <c r="E495" s="35"/>
      <c r="F495" s="35"/>
    </row>
    <row r="496" spans="1:6">
      <c r="A496" s="35"/>
      <c r="B496" s="35"/>
      <c r="C496" s="35"/>
      <c r="D496" s="35"/>
      <c r="E496" s="35"/>
      <c r="F496" s="35"/>
    </row>
    <row r="497" spans="1:6">
      <c r="A497" s="35"/>
      <c r="B497" s="35"/>
      <c r="C497" s="35"/>
      <c r="D497" s="35"/>
      <c r="E497" s="35"/>
      <c r="F497" s="35"/>
    </row>
    <row r="498" spans="1:6">
      <c r="A498" s="35"/>
      <c r="B498" s="35"/>
      <c r="C498" s="35"/>
      <c r="D498" s="35"/>
      <c r="E498" s="35"/>
      <c r="F498" s="35"/>
    </row>
    <row r="499" spans="1:6">
      <c r="A499" s="35"/>
      <c r="B499" s="35"/>
      <c r="C499" s="35"/>
      <c r="D499" s="35"/>
      <c r="E499" s="35"/>
      <c r="F499" s="35"/>
    </row>
    <row r="500" spans="1:6">
      <c r="A500" s="35"/>
      <c r="B500" s="35"/>
      <c r="C500" s="35"/>
      <c r="D500" s="35"/>
      <c r="E500" s="35"/>
      <c r="F500" s="35"/>
    </row>
    <row r="501" spans="1:6">
      <c r="A501" s="35"/>
      <c r="B501" s="35"/>
      <c r="C501" s="35"/>
      <c r="D501" s="35"/>
      <c r="E501" s="35"/>
      <c r="F501" s="35"/>
    </row>
    <row r="502" spans="1:6">
      <c r="A502" s="35"/>
      <c r="B502" s="35"/>
      <c r="C502" s="35"/>
      <c r="D502" s="35"/>
      <c r="E502" s="35"/>
      <c r="F502" s="35"/>
    </row>
    <row r="503" spans="1:6">
      <c r="A503" s="35"/>
      <c r="B503" s="35"/>
      <c r="C503" s="35"/>
      <c r="D503" s="35"/>
      <c r="E503" s="35"/>
      <c r="F503" s="35"/>
    </row>
    <row r="504" spans="1:6">
      <c r="A504" s="35"/>
      <c r="B504" s="35"/>
      <c r="C504" s="35"/>
      <c r="D504" s="35"/>
      <c r="E504" s="35"/>
      <c r="F504" s="35"/>
    </row>
    <row r="505" spans="1:6">
      <c r="A505" s="35"/>
      <c r="B505" s="35"/>
      <c r="C505" s="35"/>
      <c r="D505" s="35"/>
      <c r="E505" s="35"/>
      <c r="F505" s="35"/>
    </row>
    <row r="506" spans="1:6">
      <c r="A506" s="35"/>
      <c r="B506" s="35"/>
      <c r="C506" s="35"/>
      <c r="D506" s="35"/>
      <c r="E506" s="35"/>
      <c r="F506" s="35"/>
    </row>
    <row r="507" spans="1:6">
      <c r="A507" s="35"/>
      <c r="B507" s="35"/>
      <c r="C507" s="35"/>
      <c r="D507" s="35"/>
      <c r="E507" s="35"/>
      <c r="F507" s="35"/>
    </row>
    <row r="508" spans="1:6">
      <c r="A508" s="35"/>
      <c r="B508" s="35"/>
      <c r="C508" s="35"/>
      <c r="D508" s="35"/>
      <c r="E508" s="35"/>
      <c r="F508" s="35"/>
    </row>
    <row r="509" spans="1:6">
      <c r="A509" s="35"/>
      <c r="B509" s="35"/>
      <c r="C509" s="35"/>
      <c r="D509" s="35"/>
      <c r="E509" s="35"/>
      <c r="F509" s="35"/>
    </row>
    <row r="510" spans="1:6">
      <c r="A510" s="35"/>
      <c r="B510" s="35"/>
      <c r="C510" s="35"/>
      <c r="D510" s="35"/>
      <c r="E510" s="35"/>
      <c r="F510" s="35"/>
    </row>
    <row r="511" spans="1:6">
      <c r="A511" s="35"/>
      <c r="B511" s="35"/>
      <c r="C511" s="35"/>
      <c r="D511" s="35"/>
      <c r="E511" s="35"/>
      <c r="F511" s="35"/>
    </row>
    <row r="512" spans="1:6">
      <c r="A512" s="35"/>
      <c r="B512" s="35"/>
      <c r="C512" s="35"/>
      <c r="D512" s="35"/>
      <c r="E512" s="35"/>
      <c r="F512" s="35"/>
    </row>
    <row r="513" spans="1:6">
      <c r="A513" s="35"/>
      <c r="B513" s="35"/>
      <c r="C513" s="35"/>
      <c r="D513" s="35"/>
      <c r="E513" s="35"/>
      <c r="F513" s="35"/>
    </row>
    <row r="514" spans="1:6">
      <c r="A514" s="35"/>
      <c r="B514" s="35"/>
      <c r="C514" s="35"/>
      <c r="D514" s="35"/>
      <c r="E514" s="35"/>
      <c r="F514" s="35"/>
    </row>
    <row r="515" spans="1:6">
      <c r="A515" s="35"/>
      <c r="B515" s="35"/>
      <c r="C515" s="35"/>
      <c r="D515" s="35"/>
      <c r="E515" s="35"/>
      <c r="F515" s="35"/>
    </row>
    <row r="516" spans="1:6">
      <c r="A516" s="35"/>
      <c r="B516" s="35"/>
      <c r="C516" s="35"/>
      <c r="D516" s="35"/>
      <c r="E516" s="35"/>
      <c r="F516" s="35"/>
    </row>
    <row r="517" spans="1:6">
      <c r="A517" s="35"/>
      <c r="B517" s="35"/>
      <c r="C517" s="35"/>
      <c r="D517" s="35"/>
      <c r="E517" s="35"/>
      <c r="F517" s="35"/>
    </row>
    <row r="518" spans="1:6">
      <c r="A518" s="35"/>
      <c r="B518" s="35"/>
      <c r="C518" s="35"/>
      <c r="D518" s="35"/>
      <c r="E518" s="35"/>
      <c r="F518" s="35"/>
    </row>
    <row r="519" spans="1:6">
      <c r="A519" s="35"/>
      <c r="B519" s="35"/>
      <c r="C519" s="35"/>
      <c r="D519" s="35"/>
      <c r="E519" s="35"/>
      <c r="F519" s="35"/>
    </row>
    <row r="520" spans="1:6">
      <c r="A520" s="35"/>
      <c r="B520" s="35"/>
      <c r="C520" s="35"/>
      <c r="D520" s="35"/>
      <c r="E520" s="35"/>
      <c r="F520" s="35"/>
    </row>
    <row r="521" spans="1:6">
      <c r="A521" s="35"/>
      <c r="B521" s="35"/>
      <c r="C521" s="35"/>
      <c r="D521" s="35"/>
      <c r="E521" s="35"/>
      <c r="F521" s="35"/>
    </row>
    <row r="522" spans="1:6">
      <c r="A522" s="35"/>
      <c r="B522" s="35"/>
      <c r="C522" s="35"/>
      <c r="D522" s="35"/>
      <c r="E522" s="35"/>
      <c r="F522" s="35"/>
    </row>
    <row r="523" spans="1:6">
      <c r="A523" s="35"/>
      <c r="B523" s="35"/>
      <c r="C523" s="35"/>
      <c r="D523" s="35"/>
      <c r="E523" s="35"/>
      <c r="F523" s="35"/>
    </row>
    <row r="524" spans="1:6">
      <c r="A524" s="35"/>
      <c r="B524" s="35"/>
      <c r="C524" s="35"/>
      <c r="D524" s="35"/>
      <c r="E524" s="35"/>
      <c r="F524" s="35"/>
    </row>
    <row r="525" spans="1:6">
      <c r="A525" s="35"/>
      <c r="B525" s="35"/>
      <c r="C525" s="35"/>
      <c r="D525" s="35"/>
      <c r="E525" s="35"/>
      <c r="F525" s="35"/>
    </row>
    <row r="526" spans="1:6">
      <c r="A526" s="35"/>
      <c r="B526" s="35"/>
      <c r="C526" s="35"/>
      <c r="D526" s="35"/>
      <c r="E526" s="35"/>
      <c r="F526" s="35"/>
    </row>
    <row r="527" spans="1:6">
      <c r="A527" s="35"/>
      <c r="B527" s="35"/>
      <c r="C527" s="35"/>
      <c r="D527" s="35"/>
      <c r="E527" s="35"/>
      <c r="F527" s="35"/>
    </row>
    <row r="528" spans="1:6">
      <c r="A528" s="35"/>
      <c r="B528" s="35"/>
      <c r="C528" s="35"/>
      <c r="D528" s="35"/>
      <c r="E528" s="35"/>
      <c r="F528" s="35"/>
    </row>
    <row r="529" spans="1:6">
      <c r="A529" s="35"/>
      <c r="B529" s="35"/>
      <c r="C529" s="35"/>
      <c r="D529" s="35"/>
      <c r="E529" s="35"/>
      <c r="F529" s="35"/>
    </row>
    <row r="530" spans="1:6">
      <c r="A530" s="35"/>
      <c r="B530" s="35"/>
      <c r="C530" s="35"/>
      <c r="D530" s="35"/>
      <c r="E530" s="35"/>
      <c r="F530" s="35"/>
    </row>
    <row r="531" spans="1:6">
      <c r="A531" s="35"/>
      <c r="B531" s="35"/>
      <c r="C531" s="35"/>
      <c r="D531" s="35"/>
      <c r="E531" s="35"/>
      <c r="F531" s="35"/>
    </row>
    <row r="532" spans="1:6">
      <c r="A532" s="35"/>
      <c r="B532" s="35"/>
      <c r="C532" s="35"/>
      <c r="D532" s="35"/>
      <c r="E532" s="35"/>
      <c r="F532" s="35"/>
    </row>
    <row r="533" spans="1:6">
      <c r="A533" s="35"/>
      <c r="B533" s="35"/>
      <c r="C533" s="35"/>
      <c r="D533" s="35"/>
      <c r="E533" s="35"/>
      <c r="F533" s="35"/>
    </row>
    <row r="534" spans="1:6">
      <c r="A534" s="35"/>
      <c r="B534" s="35"/>
      <c r="C534" s="35"/>
      <c r="D534" s="35"/>
      <c r="E534" s="35"/>
      <c r="F534" s="35"/>
    </row>
    <row r="535" spans="1:6">
      <c r="A535" s="35"/>
      <c r="B535" s="35"/>
      <c r="C535" s="35"/>
      <c r="D535" s="35"/>
      <c r="E535" s="35"/>
      <c r="F535" s="35"/>
    </row>
    <row r="536" spans="1:6">
      <c r="A536" s="35"/>
      <c r="B536" s="35"/>
      <c r="C536" s="35"/>
      <c r="D536" s="35"/>
      <c r="E536" s="35"/>
      <c r="F536" s="35"/>
    </row>
    <row r="537" spans="1:6">
      <c r="A537" s="35"/>
      <c r="B537" s="35"/>
      <c r="C537" s="35"/>
      <c r="D537" s="35"/>
      <c r="E537" s="35"/>
      <c r="F537" s="35"/>
    </row>
    <row r="538" spans="1:6">
      <c r="A538" s="35"/>
      <c r="B538" s="35"/>
      <c r="C538" s="35"/>
      <c r="D538" s="35"/>
      <c r="E538" s="35"/>
      <c r="F538" s="35"/>
    </row>
    <row r="539" spans="1:6">
      <c r="A539" s="35"/>
      <c r="B539" s="35"/>
      <c r="C539" s="35"/>
      <c r="D539" s="35"/>
      <c r="E539" s="35"/>
      <c r="F539" s="35"/>
    </row>
    <row r="540" spans="1:6">
      <c r="A540" s="35"/>
      <c r="B540" s="35"/>
      <c r="C540" s="35"/>
      <c r="D540" s="35"/>
      <c r="E540" s="35"/>
      <c r="F540" s="35"/>
    </row>
    <row r="541" spans="1:6">
      <c r="A541" s="35"/>
      <c r="B541" s="35"/>
      <c r="C541" s="35"/>
      <c r="D541" s="35"/>
      <c r="E541" s="35"/>
      <c r="F541" s="35"/>
    </row>
    <row r="542" spans="1:6">
      <c r="A542" s="35"/>
      <c r="B542" s="35"/>
      <c r="C542" s="35"/>
      <c r="D542" s="35"/>
      <c r="E542" s="35"/>
      <c r="F542" s="35"/>
    </row>
    <row r="543" spans="1:6">
      <c r="A543" s="35"/>
      <c r="B543" s="35"/>
      <c r="C543" s="35"/>
      <c r="D543" s="35"/>
      <c r="E543" s="35"/>
      <c r="F543" s="35"/>
    </row>
    <row r="544" spans="1:6">
      <c r="A544" s="35"/>
      <c r="B544" s="35"/>
      <c r="C544" s="35"/>
      <c r="D544" s="35"/>
      <c r="E544" s="35"/>
      <c r="F544" s="35"/>
    </row>
    <row r="545" spans="1:6">
      <c r="A545" s="35"/>
      <c r="B545" s="35"/>
      <c r="C545" s="35"/>
      <c r="D545" s="35"/>
      <c r="E545" s="35"/>
      <c r="F545" s="35"/>
    </row>
    <row r="546" spans="1:6">
      <c r="A546" s="35"/>
      <c r="B546" s="35"/>
      <c r="C546" s="35"/>
      <c r="D546" s="35"/>
      <c r="E546" s="35"/>
      <c r="F546" s="35"/>
    </row>
    <row r="547" spans="1:6">
      <c r="A547" s="35"/>
      <c r="B547" s="35"/>
      <c r="C547" s="35"/>
      <c r="D547" s="35"/>
      <c r="E547" s="35"/>
      <c r="F547" s="35"/>
    </row>
    <row r="548" spans="1:6">
      <c r="A548" s="35"/>
      <c r="B548" s="35"/>
      <c r="C548" s="35"/>
      <c r="D548" s="35"/>
      <c r="E548" s="35"/>
      <c r="F548" s="35"/>
    </row>
    <row r="549" spans="1:6">
      <c r="A549" s="35"/>
      <c r="B549" s="35"/>
      <c r="C549" s="35"/>
      <c r="D549" s="35"/>
      <c r="E549" s="35"/>
      <c r="F549" s="35"/>
    </row>
    <row r="550" spans="1:6">
      <c r="A550" s="35"/>
      <c r="B550" s="35"/>
      <c r="C550" s="35"/>
      <c r="D550" s="35"/>
      <c r="E550" s="35"/>
      <c r="F550" s="35"/>
    </row>
    <row r="551" spans="1:6">
      <c r="A551" s="35"/>
      <c r="B551" s="35"/>
      <c r="C551" s="35"/>
      <c r="D551" s="35"/>
      <c r="E551" s="35"/>
      <c r="F551" s="35"/>
    </row>
    <row r="552" spans="1:6">
      <c r="A552" s="35"/>
      <c r="B552" s="35"/>
      <c r="C552" s="35"/>
      <c r="D552" s="35"/>
      <c r="E552" s="35"/>
      <c r="F552" s="35"/>
    </row>
    <row r="553" spans="1:6">
      <c r="A553" s="35"/>
      <c r="B553" s="35"/>
      <c r="C553" s="35"/>
      <c r="D553" s="35"/>
      <c r="E553" s="35"/>
      <c r="F553" s="35"/>
    </row>
    <row r="554" spans="1:6">
      <c r="A554" s="35"/>
      <c r="B554" s="35"/>
      <c r="C554" s="35"/>
      <c r="D554" s="35"/>
      <c r="E554" s="35"/>
      <c r="F554" s="35"/>
    </row>
    <row r="555" spans="1:6">
      <c r="A555" s="35"/>
      <c r="B555" s="35"/>
      <c r="C555" s="35"/>
      <c r="D555" s="35"/>
      <c r="E555" s="35"/>
      <c r="F555" s="35"/>
    </row>
    <row r="556" spans="1:6">
      <c r="A556" s="35"/>
      <c r="B556" s="35"/>
      <c r="C556" s="35"/>
      <c r="D556" s="35"/>
      <c r="E556" s="35"/>
      <c r="F556" s="35"/>
    </row>
    <row r="557" spans="1:6">
      <c r="A557" s="35"/>
      <c r="B557" s="35"/>
      <c r="C557" s="35"/>
      <c r="D557" s="35"/>
      <c r="E557" s="35"/>
      <c r="F557" s="35"/>
    </row>
    <row r="558" spans="1:6">
      <c r="A558" s="35"/>
      <c r="B558" s="35"/>
      <c r="C558" s="35"/>
      <c r="D558" s="35"/>
      <c r="E558" s="35"/>
      <c r="F558" s="35"/>
    </row>
    <row r="559" spans="1:6">
      <c r="A559" s="35"/>
      <c r="B559" s="35"/>
      <c r="C559" s="35"/>
      <c r="D559" s="35"/>
      <c r="E559" s="35"/>
      <c r="F559" s="35"/>
    </row>
    <row r="560" spans="1:6">
      <c r="A560" s="35"/>
      <c r="B560" s="35"/>
      <c r="C560" s="35"/>
      <c r="D560" s="35"/>
      <c r="E560" s="35"/>
      <c r="F560" s="35"/>
    </row>
    <row r="561" spans="1:6">
      <c r="A561" s="35"/>
      <c r="B561" s="35"/>
      <c r="C561" s="35"/>
      <c r="D561" s="35"/>
      <c r="E561" s="35"/>
      <c r="F561" s="35"/>
    </row>
    <row r="562" spans="1:6">
      <c r="A562" s="35"/>
      <c r="B562" s="35"/>
      <c r="C562" s="35"/>
      <c r="D562" s="35"/>
      <c r="E562" s="35"/>
      <c r="F562" s="35"/>
    </row>
    <row r="563" spans="1:6">
      <c r="A563" s="35"/>
      <c r="B563" s="35"/>
      <c r="C563" s="35"/>
      <c r="D563" s="35"/>
      <c r="E563" s="35"/>
      <c r="F563" s="35"/>
    </row>
    <row r="564" spans="1:6">
      <c r="A564" s="35"/>
      <c r="B564" s="35"/>
      <c r="C564" s="35"/>
      <c r="D564" s="35"/>
      <c r="E564" s="35"/>
      <c r="F564" s="35"/>
    </row>
    <row r="565" spans="1:6">
      <c r="A565" s="35"/>
      <c r="B565" s="35"/>
      <c r="C565" s="35"/>
      <c r="D565" s="35"/>
      <c r="E565" s="35"/>
      <c r="F565" s="35"/>
    </row>
    <row r="566" spans="1:6">
      <c r="A566" s="35"/>
      <c r="B566" s="35"/>
      <c r="C566" s="35"/>
      <c r="D566" s="35"/>
      <c r="E566" s="35"/>
      <c r="F566" s="35"/>
    </row>
    <row r="567" spans="1:6">
      <c r="A567" s="35"/>
      <c r="B567" s="35"/>
      <c r="C567" s="35"/>
      <c r="D567" s="35"/>
      <c r="E567" s="35"/>
      <c r="F567" s="35"/>
    </row>
    <row r="568" spans="1:6">
      <c r="A568" s="35"/>
      <c r="B568" s="35"/>
      <c r="C568" s="35"/>
      <c r="D568" s="35"/>
      <c r="E568" s="35"/>
      <c r="F568" s="35"/>
    </row>
    <row r="569" spans="1:6">
      <c r="A569" s="35"/>
      <c r="B569" s="35"/>
      <c r="C569" s="35"/>
      <c r="D569" s="35"/>
      <c r="E569" s="35"/>
      <c r="F569" s="35"/>
    </row>
    <row r="570" spans="1:6">
      <c r="A570" s="35"/>
      <c r="B570" s="35"/>
      <c r="C570" s="35"/>
      <c r="D570" s="35"/>
      <c r="E570" s="35"/>
      <c r="F570" s="35"/>
    </row>
    <row r="571" spans="1:6">
      <c r="A571" s="35"/>
      <c r="B571" s="35"/>
      <c r="C571" s="35"/>
      <c r="D571" s="35"/>
      <c r="E571" s="35"/>
      <c r="F571" s="35"/>
    </row>
    <row r="572" spans="1:6">
      <c r="A572" s="35"/>
      <c r="B572" s="35"/>
      <c r="C572" s="35"/>
      <c r="D572" s="35"/>
      <c r="E572" s="35"/>
      <c r="F572" s="35"/>
    </row>
    <row r="573" spans="1:6">
      <c r="A573" s="35"/>
      <c r="B573" s="35"/>
      <c r="C573" s="35"/>
      <c r="D573" s="35"/>
      <c r="E573" s="35"/>
      <c r="F573" s="35"/>
    </row>
    <row r="574" spans="1:6">
      <c r="A574" s="35"/>
      <c r="B574" s="35"/>
      <c r="C574" s="35"/>
      <c r="D574" s="35"/>
      <c r="E574" s="35"/>
      <c r="F574" s="35"/>
    </row>
    <row r="575" spans="1:6">
      <c r="A575" s="35"/>
      <c r="B575" s="35"/>
      <c r="C575" s="35"/>
      <c r="D575" s="35"/>
      <c r="E575" s="35"/>
      <c r="F575" s="35"/>
    </row>
    <row r="576" spans="1:6">
      <c r="A576" s="35"/>
      <c r="B576" s="35"/>
      <c r="C576" s="35"/>
      <c r="D576" s="35"/>
      <c r="E576" s="35"/>
      <c r="F576" s="35"/>
    </row>
    <row r="577" spans="1:6">
      <c r="A577" s="35"/>
      <c r="B577" s="35"/>
      <c r="C577" s="35"/>
      <c r="D577" s="35"/>
      <c r="E577" s="35"/>
      <c r="F577" s="35"/>
    </row>
    <row r="578" spans="1:6">
      <c r="A578" s="35"/>
      <c r="B578" s="35"/>
      <c r="C578" s="35"/>
      <c r="D578" s="35"/>
      <c r="E578" s="35"/>
      <c r="F578" s="35"/>
    </row>
    <row r="579" spans="1:6">
      <c r="A579" s="35"/>
      <c r="B579" s="35"/>
      <c r="C579" s="35"/>
      <c r="D579" s="35"/>
      <c r="E579" s="35"/>
      <c r="F579" s="35"/>
    </row>
    <row r="580" spans="1:6">
      <c r="A580" s="35"/>
      <c r="B580" s="35"/>
      <c r="C580" s="35"/>
      <c r="D580" s="35"/>
      <c r="E580" s="35"/>
      <c r="F580" s="35"/>
    </row>
    <row r="581" spans="1:6">
      <c r="A581" s="35"/>
      <c r="B581" s="35"/>
      <c r="C581" s="35"/>
      <c r="D581" s="35"/>
      <c r="E581" s="35"/>
      <c r="F581" s="35"/>
    </row>
    <row r="582" spans="1:6">
      <c r="A582" s="35"/>
      <c r="B582" s="35"/>
      <c r="C582" s="35"/>
      <c r="D582" s="35"/>
      <c r="E582" s="35"/>
      <c r="F582" s="35"/>
    </row>
    <row r="583" spans="1:6">
      <c r="A583" s="35"/>
      <c r="B583" s="35"/>
      <c r="C583" s="35"/>
      <c r="D583" s="35"/>
      <c r="E583" s="35"/>
      <c r="F583" s="35"/>
    </row>
    <row r="584" spans="1:6">
      <c r="A584" s="35"/>
      <c r="B584" s="35"/>
      <c r="C584" s="35"/>
      <c r="D584" s="35"/>
      <c r="E584" s="35"/>
      <c r="F584" s="35"/>
    </row>
    <row r="585" spans="1:6">
      <c r="A585" s="35"/>
      <c r="B585" s="35"/>
      <c r="C585" s="35"/>
      <c r="D585" s="35"/>
      <c r="E585" s="35"/>
      <c r="F585" s="35"/>
    </row>
    <row r="586" spans="1:6">
      <c r="A586" s="35"/>
      <c r="B586" s="35"/>
      <c r="C586" s="35"/>
      <c r="D586" s="35"/>
      <c r="E586" s="35"/>
      <c r="F586" s="35"/>
    </row>
    <row r="587" spans="1:6">
      <c r="A587" s="35"/>
      <c r="B587" s="35"/>
      <c r="C587" s="35"/>
      <c r="D587" s="35"/>
      <c r="E587" s="35"/>
      <c r="F587" s="35"/>
    </row>
    <row r="588" spans="1:6">
      <c r="A588" s="35"/>
      <c r="B588" s="35"/>
      <c r="C588" s="35"/>
      <c r="D588" s="35"/>
      <c r="E588" s="35"/>
      <c r="F588" s="35"/>
    </row>
    <row r="589" spans="1:6">
      <c r="A589" s="35"/>
      <c r="B589" s="35"/>
      <c r="C589" s="35"/>
      <c r="D589" s="35"/>
      <c r="E589" s="35"/>
      <c r="F589" s="35"/>
    </row>
    <row r="590" spans="1:6">
      <c r="A590" s="35"/>
      <c r="B590" s="35"/>
      <c r="C590" s="35"/>
      <c r="D590" s="35"/>
      <c r="E590" s="35"/>
      <c r="F590" s="35"/>
    </row>
    <row r="591" spans="1:6">
      <c r="A591" s="35"/>
      <c r="B591" s="35"/>
      <c r="C591" s="35"/>
      <c r="D591" s="35"/>
      <c r="E591" s="35"/>
      <c r="F591" s="35"/>
    </row>
    <row r="592" spans="1:6">
      <c r="A592" s="35"/>
      <c r="B592" s="35"/>
      <c r="C592" s="35"/>
      <c r="D592" s="35"/>
      <c r="E592" s="35"/>
      <c r="F592" s="35"/>
    </row>
    <row r="593" spans="1:6">
      <c r="A593" s="35"/>
      <c r="B593" s="35"/>
      <c r="C593" s="35"/>
      <c r="D593" s="35"/>
      <c r="E593" s="35"/>
      <c r="F593" s="35"/>
    </row>
    <row r="594" spans="1:6">
      <c r="A594" s="35"/>
      <c r="B594" s="35"/>
      <c r="C594" s="35"/>
      <c r="D594" s="35"/>
      <c r="E594" s="35"/>
      <c r="F594" s="35"/>
    </row>
    <row r="595" spans="1:6">
      <c r="A595" s="35"/>
      <c r="B595" s="35"/>
      <c r="C595" s="35"/>
      <c r="D595" s="35"/>
      <c r="E595" s="35"/>
      <c r="F595" s="35"/>
    </row>
    <row r="596" spans="1:6">
      <c r="A596" s="35"/>
      <c r="B596" s="35"/>
      <c r="C596" s="35"/>
      <c r="D596" s="35"/>
      <c r="E596" s="35"/>
      <c r="F596" s="35"/>
    </row>
    <row r="597" spans="1:6">
      <c r="A597" s="35"/>
      <c r="B597" s="35"/>
      <c r="C597" s="35"/>
      <c r="D597" s="35"/>
      <c r="E597" s="35"/>
      <c r="F597" s="35"/>
    </row>
    <row r="598" spans="1:6">
      <c r="A598" s="35"/>
      <c r="B598" s="35"/>
      <c r="C598" s="35"/>
      <c r="D598" s="35"/>
      <c r="E598" s="35"/>
      <c r="F598" s="35"/>
    </row>
    <row r="599" spans="1:6">
      <c r="A599" s="35"/>
      <c r="B599" s="35"/>
      <c r="C599" s="35"/>
      <c r="D599" s="35"/>
      <c r="E599" s="35"/>
      <c r="F599" s="35"/>
    </row>
    <row r="600" spans="1:6">
      <c r="A600" s="35"/>
      <c r="B600" s="35"/>
      <c r="C600" s="35"/>
      <c r="D600" s="35"/>
      <c r="E600" s="35"/>
      <c r="F600" s="35"/>
    </row>
    <row r="601" spans="1:6">
      <c r="A601" s="35"/>
      <c r="B601" s="35"/>
      <c r="C601" s="35"/>
      <c r="D601" s="35"/>
      <c r="E601" s="35"/>
      <c r="F601" s="35"/>
    </row>
    <row r="602" spans="1:6">
      <c r="A602" s="35"/>
      <c r="B602" s="35"/>
      <c r="C602" s="35"/>
      <c r="D602" s="35"/>
      <c r="E602" s="35"/>
      <c r="F602" s="35"/>
    </row>
    <row r="603" spans="1:6">
      <c r="A603" s="35"/>
      <c r="B603" s="35"/>
      <c r="C603" s="35"/>
      <c r="D603" s="35"/>
      <c r="E603" s="35"/>
      <c r="F603" s="35"/>
    </row>
    <row r="604" spans="1:6">
      <c r="A604" s="35"/>
      <c r="B604" s="35"/>
      <c r="C604" s="35"/>
      <c r="D604" s="35"/>
      <c r="E604" s="35"/>
      <c r="F604" s="35"/>
    </row>
    <row r="605" spans="1:6">
      <c r="A605" s="35"/>
      <c r="B605" s="35"/>
      <c r="C605" s="35"/>
      <c r="D605" s="35"/>
      <c r="E605" s="35"/>
      <c r="F605" s="35"/>
    </row>
    <row r="606" spans="1:6">
      <c r="A606" s="35"/>
      <c r="B606" s="35"/>
      <c r="C606" s="35"/>
      <c r="D606" s="35"/>
      <c r="E606" s="35"/>
      <c r="F606" s="35"/>
    </row>
    <row r="607" spans="1:6">
      <c r="A607" s="35"/>
      <c r="B607" s="35"/>
      <c r="C607" s="35"/>
      <c r="D607" s="35"/>
      <c r="E607" s="35"/>
      <c r="F607" s="35"/>
    </row>
    <row r="608" spans="1:6">
      <c r="A608" s="35"/>
      <c r="B608" s="35"/>
      <c r="C608" s="35"/>
      <c r="D608" s="35"/>
      <c r="E608" s="35"/>
      <c r="F608" s="35"/>
    </row>
    <row r="609" spans="1:6">
      <c r="A609" s="35"/>
      <c r="B609" s="35"/>
      <c r="C609" s="35"/>
      <c r="D609" s="35"/>
      <c r="E609" s="35"/>
      <c r="F609" s="35"/>
    </row>
    <row r="610" spans="1:6">
      <c r="A610" s="35"/>
      <c r="B610" s="35"/>
      <c r="C610" s="35"/>
      <c r="D610" s="35"/>
      <c r="E610" s="35"/>
      <c r="F610" s="35"/>
    </row>
    <row r="611" spans="1:6">
      <c r="A611" s="35"/>
      <c r="B611" s="35"/>
      <c r="C611" s="35"/>
      <c r="D611" s="35"/>
      <c r="E611" s="35"/>
      <c r="F611" s="35"/>
    </row>
    <row r="612" spans="1:6">
      <c r="A612" s="35"/>
      <c r="B612" s="35"/>
      <c r="C612" s="35"/>
      <c r="D612" s="35"/>
      <c r="E612" s="35"/>
      <c r="F612" s="35"/>
    </row>
    <row r="613" spans="1:6">
      <c r="A613" s="35"/>
      <c r="B613" s="35"/>
      <c r="C613" s="35"/>
      <c r="D613" s="35"/>
      <c r="E613" s="35"/>
      <c r="F613" s="35"/>
    </row>
    <row r="614" spans="1:6">
      <c r="A614" s="35"/>
      <c r="B614" s="35"/>
      <c r="C614" s="35"/>
      <c r="D614" s="35"/>
      <c r="E614" s="35"/>
      <c r="F614" s="35"/>
    </row>
    <row r="615" spans="1:6">
      <c r="A615" s="35"/>
      <c r="B615" s="35"/>
      <c r="C615" s="35"/>
      <c r="D615" s="35"/>
      <c r="E615" s="35"/>
      <c r="F615" s="35"/>
    </row>
    <row r="616" spans="1:6">
      <c r="A616" s="35"/>
      <c r="B616" s="35"/>
      <c r="C616" s="35"/>
      <c r="D616" s="35"/>
      <c r="E616" s="35"/>
      <c r="F616" s="35"/>
    </row>
    <row r="617" spans="1:6">
      <c r="A617" s="35"/>
      <c r="B617" s="35"/>
      <c r="C617" s="35"/>
      <c r="D617" s="35"/>
      <c r="E617" s="35"/>
      <c r="F617" s="35"/>
    </row>
    <row r="618" spans="1:6">
      <c r="A618" s="35"/>
      <c r="B618" s="35"/>
      <c r="C618" s="35"/>
      <c r="D618" s="35"/>
      <c r="E618" s="35"/>
      <c r="F618" s="35"/>
    </row>
    <row r="619" spans="1:6">
      <c r="A619" s="35"/>
      <c r="B619" s="35"/>
      <c r="C619" s="35"/>
      <c r="D619" s="35"/>
      <c r="E619" s="35"/>
      <c r="F619" s="35"/>
    </row>
    <row r="620" spans="1:6">
      <c r="A620" s="35"/>
      <c r="B620" s="35"/>
      <c r="C620" s="35"/>
      <c r="D620" s="35"/>
      <c r="E620" s="35"/>
      <c r="F620" s="35"/>
    </row>
    <row r="621" spans="1:6">
      <c r="A621" s="35"/>
      <c r="B621" s="35"/>
      <c r="C621" s="35"/>
      <c r="D621" s="35"/>
      <c r="E621" s="35"/>
      <c r="F621" s="35"/>
    </row>
    <row r="622" spans="1:6">
      <c r="A622" s="35"/>
      <c r="B622" s="35"/>
      <c r="C622" s="35"/>
      <c r="D622" s="35"/>
      <c r="E622" s="35"/>
      <c r="F622" s="35"/>
    </row>
    <row r="623" spans="1:6">
      <c r="A623" s="35"/>
      <c r="B623" s="35"/>
      <c r="C623" s="35"/>
      <c r="D623" s="35"/>
      <c r="E623" s="35"/>
      <c r="F623" s="35"/>
    </row>
    <row r="624" spans="1:6">
      <c r="A624" s="35"/>
      <c r="B624" s="35"/>
      <c r="C624" s="35"/>
      <c r="D624" s="35"/>
      <c r="E624" s="35"/>
      <c r="F624" s="35"/>
    </row>
    <row r="625" spans="1:6">
      <c r="A625" s="35"/>
      <c r="B625" s="35"/>
      <c r="C625" s="35"/>
      <c r="D625" s="35"/>
      <c r="E625" s="35"/>
      <c r="F625" s="35"/>
    </row>
    <row r="626" spans="1:6">
      <c r="A626" s="35"/>
      <c r="B626" s="35"/>
      <c r="C626" s="35"/>
      <c r="D626" s="35"/>
      <c r="E626" s="35"/>
      <c r="F626" s="35"/>
    </row>
    <row r="627" spans="1:6">
      <c r="A627" s="35"/>
      <c r="B627" s="35"/>
      <c r="C627" s="35"/>
      <c r="D627" s="35"/>
      <c r="E627" s="35"/>
      <c r="F627" s="35"/>
    </row>
    <row r="628" spans="1:6">
      <c r="A628" s="35"/>
      <c r="B628" s="35"/>
      <c r="C628" s="35"/>
      <c r="D628" s="35"/>
      <c r="E628" s="35"/>
      <c r="F628" s="35"/>
    </row>
    <row r="629" spans="1:6">
      <c r="A629" s="35"/>
      <c r="B629" s="35"/>
      <c r="C629" s="35"/>
      <c r="D629" s="35"/>
      <c r="E629" s="35"/>
      <c r="F629" s="35"/>
    </row>
    <row r="630" spans="1:6">
      <c r="A630" s="35"/>
      <c r="B630" s="35"/>
      <c r="C630" s="35"/>
      <c r="D630" s="35"/>
      <c r="E630" s="35"/>
      <c r="F630" s="35"/>
    </row>
    <row r="631" spans="1:6">
      <c r="A631" s="35"/>
      <c r="B631" s="35"/>
      <c r="C631" s="35"/>
      <c r="D631" s="35"/>
      <c r="E631" s="35"/>
      <c r="F631" s="35"/>
    </row>
    <row r="632" spans="1:6">
      <c r="A632" s="35"/>
      <c r="B632" s="35"/>
      <c r="C632" s="35"/>
      <c r="D632" s="35"/>
      <c r="E632" s="35"/>
      <c r="F632" s="35"/>
    </row>
    <row r="633" spans="1:6">
      <c r="A633" s="35"/>
      <c r="B633" s="35"/>
      <c r="C633" s="35"/>
      <c r="D633" s="35"/>
      <c r="E633" s="35"/>
      <c r="F633" s="35"/>
    </row>
    <row r="634" spans="1:6">
      <c r="A634" s="35"/>
      <c r="B634" s="35"/>
      <c r="C634" s="35"/>
      <c r="D634" s="35"/>
      <c r="E634" s="35"/>
      <c r="F634" s="35"/>
    </row>
    <row r="635" spans="1:6">
      <c r="A635" s="35"/>
      <c r="B635" s="35"/>
      <c r="C635" s="35"/>
      <c r="D635" s="35"/>
      <c r="E635" s="35"/>
      <c r="F635" s="35"/>
    </row>
    <row r="636" spans="1:6">
      <c r="A636" s="35"/>
      <c r="B636" s="35"/>
      <c r="C636" s="35"/>
      <c r="D636" s="35"/>
      <c r="E636" s="35"/>
      <c r="F636" s="35"/>
    </row>
    <row r="637" spans="1:6">
      <c r="A637" s="35"/>
      <c r="B637" s="35"/>
      <c r="C637" s="35"/>
      <c r="D637" s="35"/>
      <c r="E637" s="35"/>
      <c r="F637" s="35"/>
    </row>
    <row r="638" spans="1:6">
      <c r="A638" s="35"/>
      <c r="B638" s="35"/>
      <c r="C638" s="35"/>
      <c r="D638" s="35"/>
      <c r="E638" s="35"/>
      <c r="F638" s="35"/>
    </row>
    <row r="639" spans="1:6">
      <c r="A639" s="35"/>
      <c r="B639" s="35"/>
      <c r="C639" s="35"/>
      <c r="D639" s="35"/>
      <c r="E639" s="35"/>
      <c r="F639" s="35"/>
    </row>
    <row r="640" spans="1:6">
      <c r="A640" s="35"/>
      <c r="B640" s="35"/>
      <c r="C640" s="35"/>
      <c r="D640" s="35"/>
      <c r="E640" s="35"/>
      <c r="F640" s="35"/>
    </row>
    <row r="641" spans="1:6">
      <c r="A641" s="35"/>
      <c r="B641" s="35"/>
      <c r="C641" s="35"/>
      <c r="D641" s="35"/>
      <c r="E641" s="35"/>
      <c r="F641" s="35"/>
    </row>
    <row r="642" spans="1:6">
      <c r="A642" s="35"/>
      <c r="B642" s="35"/>
      <c r="C642" s="35"/>
      <c r="D642" s="35"/>
      <c r="E642" s="35"/>
      <c r="F642" s="35"/>
    </row>
    <row r="643" spans="1:6">
      <c r="A643" s="35"/>
      <c r="B643" s="35"/>
      <c r="C643" s="35"/>
      <c r="D643" s="35"/>
      <c r="E643" s="35"/>
      <c r="F643" s="35"/>
    </row>
    <row r="644" spans="1:6">
      <c r="A644" s="35"/>
      <c r="B644" s="35"/>
      <c r="C644" s="35"/>
      <c r="D644" s="35"/>
      <c r="E644" s="35"/>
      <c r="F644" s="35"/>
    </row>
    <row r="645" spans="1:6">
      <c r="A645" s="35"/>
      <c r="B645" s="35"/>
      <c r="C645" s="35"/>
      <c r="D645" s="35"/>
      <c r="E645" s="35"/>
      <c r="F645" s="35"/>
    </row>
    <row r="646" spans="1:6">
      <c r="A646" s="35"/>
      <c r="B646" s="35"/>
      <c r="C646" s="35"/>
      <c r="D646" s="35"/>
      <c r="E646" s="35"/>
      <c r="F646" s="35"/>
    </row>
    <row r="647" spans="1:6">
      <c r="A647" s="35"/>
      <c r="B647" s="35"/>
      <c r="C647" s="35"/>
      <c r="D647" s="35"/>
      <c r="E647" s="35"/>
      <c r="F647" s="35"/>
    </row>
    <row r="648" spans="1:6">
      <c r="A648" s="35"/>
      <c r="B648" s="35"/>
      <c r="C648" s="35"/>
      <c r="D648" s="35"/>
      <c r="E648" s="35"/>
      <c r="F648" s="35"/>
    </row>
    <row r="649" spans="1:6">
      <c r="A649" s="35"/>
      <c r="B649" s="35"/>
      <c r="C649" s="35"/>
      <c r="D649" s="35"/>
      <c r="E649" s="35"/>
      <c r="F649" s="35"/>
    </row>
    <row r="650" spans="1:6">
      <c r="A650" s="35"/>
      <c r="B650" s="35"/>
      <c r="C650" s="35"/>
      <c r="D650" s="35"/>
      <c r="E650" s="35"/>
      <c r="F650" s="35"/>
    </row>
    <row r="651" spans="1:6">
      <c r="A651" s="35"/>
      <c r="B651" s="35"/>
      <c r="C651" s="35"/>
      <c r="D651" s="35"/>
      <c r="E651" s="35"/>
      <c r="F651" s="35"/>
    </row>
    <row r="652" spans="1:6">
      <c r="A652" s="35"/>
      <c r="B652" s="35"/>
      <c r="C652" s="35"/>
      <c r="D652" s="35"/>
      <c r="E652" s="35"/>
      <c r="F652" s="35"/>
    </row>
    <row r="653" spans="1:6">
      <c r="A653" s="35"/>
      <c r="B653" s="35"/>
      <c r="C653" s="35"/>
      <c r="D653" s="35"/>
      <c r="E653" s="35"/>
      <c r="F653" s="35"/>
    </row>
    <row r="654" spans="1:6">
      <c r="A654" s="35"/>
      <c r="B654" s="35"/>
      <c r="C654" s="35"/>
      <c r="D654" s="35"/>
      <c r="E654" s="35"/>
      <c r="F654" s="35"/>
    </row>
    <row r="655" spans="1:6">
      <c r="A655" s="35"/>
      <c r="B655" s="35"/>
      <c r="C655" s="35"/>
      <c r="D655" s="35"/>
      <c r="E655" s="35"/>
      <c r="F655" s="35"/>
    </row>
    <row r="656" spans="1:6">
      <c r="A656" s="35"/>
      <c r="B656" s="35"/>
      <c r="C656" s="35"/>
      <c r="D656" s="35"/>
      <c r="E656" s="35"/>
      <c r="F656" s="35"/>
    </row>
    <row r="657" spans="1:6">
      <c r="A657" s="35"/>
      <c r="B657" s="35"/>
      <c r="C657" s="35"/>
      <c r="D657" s="35"/>
      <c r="E657" s="35"/>
      <c r="F657" s="35"/>
    </row>
    <row r="658" spans="1:6">
      <c r="A658" s="35"/>
      <c r="B658" s="35"/>
      <c r="C658" s="35"/>
      <c r="D658" s="35"/>
      <c r="E658" s="35"/>
      <c r="F658" s="35"/>
    </row>
    <row r="659" spans="1:6">
      <c r="A659" s="35"/>
      <c r="B659" s="35"/>
      <c r="C659" s="35"/>
      <c r="D659" s="35"/>
      <c r="E659" s="35"/>
      <c r="F659" s="35"/>
    </row>
    <row r="660" spans="1:6">
      <c r="A660" s="35"/>
      <c r="B660" s="35"/>
      <c r="C660" s="35"/>
      <c r="D660" s="35"/>
      <c r="E660" s="35"/>
      <c r="F660" s="35"/>
    </row>
    <row r="661" spans="1:6">
      <c r="A661" s="35"/>
      <c r="B661" s="35"/>
      <c r="C661" s="35"/>
      <c r="D661" s="35"/>
      <c r="E661" s="35"/>
      <c r="F661" s="35"/>
    </row>
    <row r="662" spans="1:6">
      <c r="A662" s="35"/>
      <c r="B662" s="35"/>
      <c r="C662" s="35"/>
      <c r="D662" s="35"/>
      <c r="E662" s="35"/>
      <c r="F662" s="35"/>
    </row>
    <row r="663" spans="1:6">
      <c r="A663" s="35"/>
      <c r="B663" s="35"/>
      <c r="C663" s="35"/>
      <c r="D663" s="35"/>
      <c r="E663" s="35"/>
      <c r="F663" s="35"/>
    </row>
    <row r="664" spans="1:6">
      <c r="A664" s="35"/>
      <c r="B664" s="35"/>
      <c r="C664" s="35"/>
      <c r="D664" s="35"/>
      <c r="E664" s="35"/>
      <c r="F664" s="35"/>
    </row>
    <row r="665" spans="1:6">
      <c r="A665" s="35"/>
      <c r="B665" s="35"/>
      <c r="C665" s="35"/>
      <c r="D665" s="35"/>
      <c r="E665" s="35"/>
      <c r="F665" s="35"/>
    </row>
    <row r="666" spans="1:6">
      <c r="A666" s="35"/>
      <c r="B666" s="35"/>
      <c r="C666" s="35"/>
      <c r="D666" s="35"/>
      <c r="E666" s="35"/>
      <c r="F666" s="35"/>
    </row>
    <row r="667" spans="1:6">
      <c r="A667" s="35"/>
      <c r="B667" s="35"/>
      <c r="C667" s="35"/>
      <c r="D667" s="35"/>
      <c r="E667" s="35"/>
      <c r="F667" s="35"/>
    </row>
    <row r="668" spans="1:6">
      <c r="A668" s="35"/>
      <c r="B668" s="35"/>
      <c r="C668" s="35"/>
      <c r="D668" s="35"/>
      <c r="E668" s="35"/>
      <c r="F668" s="35"/>
    </row>
    <row r="669" spans="1:6">
      <c r="A669" s="35"/>
      <c r="B669" s="35"/>
      <c r="C669" s="35"/>
      <c r="D669" s="35"/>
      <c r="E669" s="35"/>
      <c r="F669" s="35"/>
    </row>
    <row r="670" spans="1:6">
      <c r="A670" s="35"/>
      <c r="B670" s="35"/>
      <c r="C670" s="35"/>
      <c r="D670" s="35"/>
      <c r="E670" s="35"/>
      <c r="F670" s="35"/>
    </row>
    <row r="671" spans="1:6">
      <c r="A671" s="35"/>
      <c r="B671" s="35"/>
      <c r="C671" s="35"/>
      <c r="D671" s="35"/>
      <c r="E671" s="35"/>
      <c r="F671" s="35"/>
    </row>
    <row r="672" spans="1:6">
      <c r="A672" s="35"/>
      <c r="B672" s="35"/>
      <c r="C672" s="35"/>
      <c r="D672" s="35"/>
      <c r="E672" s="35"/>
      <c r="F672" s="35"/>
    </row>
    <row r="673" spans="1:6">
      <c r="A673" s="35"/>
      <c r="B673" s="35"/>
      <c r="C673" s="35"/>
      <c r="D673" s="35"/>
      <c r="E673" s="35"/>
      <c r="F673" s="35"/>
    </row>
    <row r="674" spans="1:6">
      <c r="A674" s="35"/>
      <c r="B674" s="35"/>
      <c r="C674" s="35"/>
      <c r="D674" s="35"/>
      <c r="E674" s="35"/>
      <c r="F674" s="35"/>
    </row>
    <row r="675" spans="1:6">
      <c r="A675" s="35"/>
      <c r="B675" s="35"/>
      <c r="C675" s="35"/>
      <c r="D675" s="35"/>
      <c r="E675" s="35"/>
      <c r="F675" s="35"/>
    </row>
    <row r="676" spans="1:6">
      <c r="A676" s="35"/>
      <c r="B676" s="35"/>
      <c r="C676" s="35"/>
      <c r="D676" s="35"/>
      <c r="E676" s="35"/>
      <c r="F676" s="35"/>
    </row>
    <row r="677" spans="1:6">
      <c r="A677" s="35"/>
      <c r="B677" s="35"/>
      <c r="C677" s="35"/>
      <c r="D677" s="35"/>
      <c r="E677" s="35"/>
      <c r="F677" s="35"/>
    </row>
    <row r="678" spans="1:6">
      <c r="A678" s="35"/>
      <c r="B678" s="35"/>
      <c r="C678" s="35"/>
      <c r="D678" s="35"/>
      <c r="E678" s="35"/>
      <c r="F678" s="35"/>
    </row>
    <row r="679" spans="1:6">
      <c r="A679" s="35"/>
      <c r="B679" s="35"/>
      <c r="C679" s="35"/>
      <c r="D679" s="35"/>
      <c r="E679" s="35"/>
      <c r="F679" s="35"/>
    </row>
    <row r="680" spans="1:6">
      <c r="A680" s="35"/>
      <c r="B680" s="35"/>
      <c r="C680" s="35"/>
      <c r="D680" s="35"/>
      <c r="E680" s="35"/>
      <c r="F680" s="35"/>
    </row>
    <row r="681" spans="1:6">
      <c r="A681" s="35"/>
      <c r="B681" s="35"/>
      <c r="C681" s="35"/>
      <c r="D681" s="35"/>
      <c r="E681" s="35"/>
      <c r="F681" s="35"/>
    </row>
    <row r="682" spans="1:6">
      <c r="A682" s="35"/>
      <c r="B682" s="35"/>
      <c r="C682" s="35"/>
      <c r="D682" s="35"/>
      <c r="E682" s="35"/>
      <c r="F682" s="35"/>
    </row>
    <row r="683" spans="1:6">
      <c r="A683" s="35"/>
      <c r="B683" s="35"/>
      <c r="C683" s="35"/>
      <c r="D683" s="35"/>
      <c r="E683" s="35"/>
      <c r="F683" s="35"/>
    </row>
    <row r="684" spans="1:6">
      <c r="A684" s="35"/>
      <c r="B684" s="35"/>
      <c r="C684" s="35"/>
      <c r="D684" s="35"/>
      <c r="E684" s="35"/>
      <c r="F684" s="35"/>
    </row>
    <row r="685" spans="1:6">
      <c r="A685" s="35"/>
      <c r="B685" s="35"/>
      <c r="C685" s="35"/>
      <c r="D685" s="35"/>
      <c r="E685" s="35"/>
      <c r="F685" s="35"/>
    </row>
    <row r="686" spans="1:6">
      <c r="A686" s="35"/>
      <c r="B686" s="35"/>
      <c r="C686" s="35"/>
      <c r="D686" s="35"/>
      <c r="E686" s="35"/>
      <c r="F686" s="35"/>
    </row>
    <row r="687" spans="1:6">
      <c r="A687" s="35"/>
      <c r="B687" s="35"/>
      <c r="C687" s="35"/>
      <c r="D687" s="35"/>
      <c r="E687" s="35"/>
      <c r="F687" s="35"/>
    </row>
    <row r="688" spans="1:6">
      <c r="A688" s="35"/>
      <c r="B688" s="35"/>
      <c r="C688" s="35"/>
      <c r="D688" s="35"/>
      <c r="E688" s="35"/>
      <c r="F688" s="35"/>
    </row>
    <row r="689" spans="1:6">
      <c r="A689" s="35"/>
      <c r="B689" s="35"/>
      <c r="C689" s="35"/>
      <c r="D689" s="35"/>
      <c r="E689" s="35"/>
      <c r="F689" s="35"/>
    </row>
    <row r="690" spans="1:6">
      <c r="A690" s="35"/>
      <c r="B690" s="35"/>
      <c r="C690" s="35"/>
      <c r="D690" s="35"/>
      <c r="E690" s="35"/>
      <c r="F690" s="35"/>
    </row>
    <row r="691" spans="1:6">
      <c r="A691" s="35"/>
      <c r="B691" s="35"/>
      <c r="C691" s="35"/>
      <c r="D691" s="35"/>
      <c r="E691" s="35"/>
      <c r="F691" s="35"/>
    </row>
    <row r="692" spans="1:6">
      <c r="A692" s="35"/>
      <c r="B692" s="35"/>
      <c r="C692" s="35"/>
      <c r="D692" s="35"/>
      <c r="E692" s="35"/>
      <c r="F692" s="35"/>
    </row>
    <row r="693" spans="1:6">
      <c r="A693" s="35"/>
      <c r="B693" s="35"/>
      <c r="C693" s="35"/>
      <c r="D693" s="35"/>
      <c r="E693" s="35"/>
      <c r="F693" s="35"/>
    </row>
    <row r="694" spans="1:6">
      <c r="A694" s="35"/>
      <c r="B694" s="35"/>
      <c r="C694" s="35"/>
      <c r="D694" s="35"/>
      <c r="E694" s="35"/>
      <c r="F694" s="35"/>
    </row>
    <row r="695" spans="1:6">
      <c r="A695" s="35"/>
      <c r="B695" s="35"/>
      <c r="C695" s="35"/>
      <c r="D695" s="35"/>
      <c r="E695" s="35"/>
      <c r="F695" s="35"/>
    </row>
    <row r="696" spans="1:6">
      <c r="A696" s="35"/>
      <c r="B696" s="35"/>
      <c r="C696" s="35"/>
      <c r="D696" s="35"/>
      <c r="E696" s="35"/>
      <c r="F696" s="35"/>
    </row>
    <row r="697" spans="1:6">
      <c r="A697" s="35"/>
      <c r="B697" s="35"/>
      <c r="C697" s="35"/>
      <c r="D697" s="35"/>
      <c r="E697" s="35"/>
      <c r="F697" s="35"/>
    </row>
    <row r="698" spans="1:6">
      <c r="A698" s="35"/>
      <c r="B698" s="35"/>
      <c r="C698" s="35"/>
      <c r="D698" s="35"/>
      <c r="E698" s="35"/>
      <c r="F698" s="35"/>
    </row>
    <row r="699" spans="1:6">
      <c r="A699" s="35"/>
      <c r="B699" s="35"/>
      <c r="C699" s="35"/>
      <c r="D699" s="35"/>
      <c r="E699" s="35"/>
      <c r="F699" s="35"/>
    </row>
    <row r="700" spans="1:6">
      <c r="A700" s="35"/>
      <c r="B700" s="35"/>
      <c r="C700" s="35"/>
      <c r="D700" s="35"/>
      <c r="E700" s="35"/>
      <c r="F700" s="35"/>
    </row>
    <row r="701" spans="1:6">
      <c r="A701" s="35"/>
      <c r="B701" s="35"/>
      <c r="C701" s="35"/>
      <c r="D701" s="35"/>
      <c r="E701" s="35"/>
      <c r="F701" s="35"/>
    </row>
    <row r="702" spans="1:6">
      <c r="A702" s="35"/>
      <c r="B702" s="35"/>
      <c r="C702" s="35"/>
      <c r="D702" s="35"/>
      <c r="E702" s="35"/>
      <c r="F702" s="35"/>
    </row>
    <row r="703" spans="1:6">
      <c r="A703" s="35"/>
      <c r="B703" s="35"/>
      <c r="C703" s="35"/>
      <c r="D703" s="35"/>
      <c r="E703" s="35"/>
      <c r="F703" s="35"/>
    </row>
    <row r="704" spans="1:6">
      <c r="A704" s="35"/>
      <c r="B704" s="35"/>
      <c r="C704" s="35"/>
      <c r="D704" s="35"/>
      <c r="E704" s="35"/>
      <c r="F704" s="35"/>
    </row>
    <row r="705" spans="1:6">
      <c r="A705" s="35"/>
      <c r="B705" s="35"/>
      <c r="C705" s="35"/>
      <c r="D705" s="35"/>
      <c r="E705" s="35"/>
      <c r="F705" s="35"/>
    </row>
    <row r="706" spans="1:6">
      <c r="A706" s="35"/>
      <c r="B706" s="35"/>
      <c r="C706" s="35"/>
      <c r="D706" s="35"/>
      <c r="E706" s="35"/>
      <c r="F706" s="35"/>
    </row>
    <row r="707" spans="1:6">
      <c r="A707" s="35"/>
      <c r="B707" s="35"/>
      <c r="C707" s="35"/>
      <c r="D707" s="35"/>
      <c r="E707" s="35"/>
      <c r="F707" s="35"/>
    </row>
    <row r="708" spans="1:6">
      <c r="A708" s="35"/>
      <c r="B708" s="35"/>
      <c r="C708" s="35"/>
      <c r="D708" s="35"/>
      <c r="E708" s="35"/>
      <c r="F708" s="35"/>
    </row>
    <row r="709" spans="1:6">
      <c r="A709" s="35"/>
      <c r="B709" s="35"/>
      <c r="C709" s="35"/>
      <c r="D709" s="35"/>
      <c r="E709" s="35"/>
      <c r="F709" s="35"/>
    </row>
    <row r="710" spans="1:6">
      <c r="A710" s="35"/>
      <c r="B710" s="35"/>
      <c r="C710" s="35"/>
      <c r="D710" s="35"/>
      <c r="E710" s="35"/>
      <c r="F710" s="35"/>
    </row>
    <row r="711" spans="1:6">
      <c r="A711" s="35"/>
      <c r="B711" s="35"/>
      <c r="C711" s="35"/>
      <c r="D711" s="35"/>
      <c r="E711" s="35"/>
      <c r="F711" s="35"/>
    </row>
    <row r="712" spans="1:6">
      <c r="A712" s="35"/>
      <c r="B712" s="35"/>
      <c r="C712" s="35"/>
      <c r="D712" s="35"/>
      <c r="E712" s="35"/>
      <c r="F712" s="35"/>
    </row>
    <row r="713" spans="1:6">
      <c r="A713" s="35"/>
      <c r="B713" s="35"/>
      <c r="C713" s="35"/>
      <c r="D713" s="35"/>
      <c r="E713" s="35"/>
      <c r="F713" s="35"/>
    </row>
    <row r="714" spans="1:6">
      <c r="A714" s="35"/>
      <c r="B714" s="35"/>
      <c r="C714" s="35"/>
      <c r="D714" s="35"/>
      <c r="E714" s="35"/>
      <c r="F714" s="35"/>
    </row>
    <row r="715" spans="1:6">
      <c r="A715" s="35"/>
      <c r="B715" s="35"/>
      <c r="C715" s="35"/>
      <c r="D715" s="35"/>
      <c r="E715" s="35"/>
      <c r="F715" s="35"/>
    </row>
    <row r="716" spans="1:6">
      <c r="A716" s="35"/>
      <c r="B716" s="35"/>
      <c r="C716" s="35"/>
      <c r="D716" s="35"/>
      <c r="E716" s="35"/>
      <c r="F716" s="35"/>
    </row>
    <row r="717" spans="1:6">
      <c r="A717" s="35"/>
      <c r="B717" s="35"/>
      <c r="C717" s="35"/>
      <c r="D717" s="35"/>
      <c r="E717" s="35"/>
      <c r="F717" s="35"/>
    </row>
    <row r="718" spans="1:6">
      <c r="A718" s="35"/>
      <c r="B718" s="35"/>
      <c r="C718" s="35"/>
      <c r="D718" s="35"/>
      <c r="E718" s="35"/>
      <c r="F718" s="35"/>
    </row>
    <row r="719" spans="1:6">
      <c r="A719" s="35"/>
      <c r="B719" s="35"/>
      <c r="C719" s="35"/>
      <c r="D719" s="35"/>
      <c r="E719" s="35"/>
      <c r="F719" s="35"/>
    </row>
    <row r="720" spans="1:6">
      <c r="A720" s="35"/>
      <c r="B720" s="35"/>
      <c r="C720" s="35"/>
      <c r="D720" s="35"/>
      <c r="E720" s="35"/>
      <c r="F720" s="35"/>
    </row>
    <row r="721" spans="1:6">
      <c r="A721" s="35"/>
      <c r="B721" s="35"/>
      <c r="C721" s="35"/>
      <c r="D721" s="35"/>
      <c r="E721" s="35"/>
      <c r="F721" s="35"/>
    </row>
    <row r="722" spans="1:6">
      <c r="A722" s="35"/>
      <c r="B722" s="35"/>
      <c r="C722" s="35"/>
      <c r="D722" s="35"/>
      <c r="E722" s="35"/>
      <c r="F722" s="35"/>
    </row>
    <row r="723" spans="1:6">
      <c r="A723" s="35"/>
      <c r="B723" s="35"/>
      <c r="C723" s="35"/>
      <c r="D723" s="35"/>
      <c r="E723" s="35"/>
      <c r="F723" s="35"/>
    </row>
    <row r="724" spans="1:6">
      <c r="A724" s="35"/>
      <c r="B724" s="35"/>
      <c r="C724" s="35"/>
      <c r="D724" s="35"/>
      <c r="E724" s="35"/>
      <c r="F724" s="35"/>
    </row>
    <row r="725" spans="1:6">
      <c r="A725" s="35"/>
      <c r="B725" s="35"/>
      <c r="C725" s="35"/>
      <c r="D725" s="35"/>
      <c r="E725" s="35"/>
      <c r="F725" s="35"/>
    </row>
    <row r="726" spans="1:6">
      <c r="A726" s="35"/>
      <c r="B726" s="35"/>
      <c r="C726" s="35"/>
      <c r="D726" s="35"/>
      <c r="E726" s="35"/>
      <c r="F726" s="35"/>
    </row>
    <row r="727" spans="1:6">
      <c r="A727" s="35"/>
      <c r="B727" s="35"/>
      <c r="C727" s="35"/>
      <c r="D727" s="35"/>
      <c r="E727" s="35"/>
      <c r="F727" s="35"/>
    </row>
    <row r="728" spans="1:6">
      <c r="A728" s="35"/>
      <c r="B728" s="35"/>
      <c r="C728" s="35"/>
      <c r="D728" s="35"/>
      <c r="E728" s="35"/>
      <c r="F728" s="35"/>
    </row>
    <row r="729" spans="1:6">
      <c r="A729" s="35"/>
      <c r="B729" s="35"/>
      <c r="C729" s="35"/>
      <c r="D729" s="35"/>
      <c r="E729" s="35"/>
      <c r="F729" s="35"/>
    </row>
    <row r="730" spans="1:6">
      <c r="A730" s="35"/>
      <c r="B730" s="35"/>
      <c r="C730" s="35"/>
      <c r="D730" s="35"/>
      <c r="E730" s="35"/>
      <c r="F730" s="35"/>
    </row>
    <row r="731" spans="1:6">
      <c r="A731" s="35"/>
      <c r="B731" s="35"/>
      <c r="C731" s="35"/>
      <c r="D731" s="35"/>
      <c r="E731" s="35"/>
      <c r="F731" s="35"/>
    </row>
    <row r="732" spans="1:6">
      <c r="A732" s="35"/>
      <c r="B732" s="35"/>
      <c r="C732" s="35"/>
      <c r="D732" s="35"/>
      <c r="E732" s="35"/>
      <c r="F732" s="35"/>
    </row>
    <row r="733" spans="1:6">
      <c r="A733" s="35"/>
      <c r="B733" s="35"/>
      <c r="C733" s="35"/>
      <c r="D733" s="35"/>
      <c r="E733" s="35"/>
      <c r="F733" s="35"/>
    </row>
    <row r="734" spans="1:6">
      <c r="A734" s="35"/>
      <c r="B734" s="35"/>
      <c r="C734" s="35"/>
      <c r="D734" s="35"/>
      <c r="E734" s="35"/>
      <c r="F734" s="35"/>
    </row>
    <row r="735" spans="1:6">
      <c r="A735" s="35"/>
      <c r="B735" s="35"/>
      <c r="C735" s="35"/>
      <c r="D735" s="35"/>
      <c r="E735" s="35"/>
      <c r="F735" s="35"/>
    </row>
    <row r="736" spans="1:6">
      <c r="A736" s="35"/>
      <c r="B736" s="35"/>
      <c r="C736" s="35"/>
      <c r="D736" s="35"/>
      <c r="E736" s="35"/>
      <c r="F736" s="35"/>
    </row>
    <row r="737" spans="1:6">
      <c r="A737" s="35"/>
      <c r="B737" s="35"/>
      <c r="C737" s="35"/>
      <c r="D737" s="35"/>
      <c r="E737" s="35"/>
      <c r="F737" s="35"/>
    </row>
    <row r="738" spans="1:6">
      <c r="A738" s="35"/>
      <c r="B738" s="35"/>
      <c r="C738" s="35"/>
      <c r="D738" s="35"/>
      <c r="E738" s="35"/>
      <c r="F738" s="35"/>
    </row>
    <row r="739" spans="1:6">
      <c r="A739" s="35"/>
      <c r="B739" s="35"/>
      <c r="C739" s="35"/>
      <c r="D739" s="35"/>
      <c r="E739" s="35"/>
      <c r="F739" s="35"/>
    </row>
    <row r="740" spans="1:6">
      <c r="A740" s="35"/>
      <c r="B740" s="35"/>
      <c r="C740" s="35"/>
      <c r="D740" s="35"/>
      <c r="E740" s="35"/>
      <c r="F740" s="35"/>
    </row>
    <row r="741" spans="1:6">
      <c r="A741" s="35"/>
      <c r="B741" s="35"/>
      <c r="C741" s="35"/>
      <c r="D741" s="35"/>
      <c r="E741" s="35"/>
      <c r="F741" s="35"/>
    </row>
    <row r="742" spans="1:6">
      <c r="A742" s="35"/>
      <c r="B742" s="35"/>
      <c r="C742" s="35"/>
      <c r="D742" s="35"/>
      <c r="E742" s="35"/>
      <c r="F742" s="35"/>
    </row>
    <row r="743" spans="1:6">
      <c r="A743" s="35"/>
      <c r="B743" s="35"/>
      <c r="C743" s="35"/>
      <c r="D743" s="35"/>
      <c r="E743" s="35"/>
      <c r="F743" s="35"/>
    </row>
    <row r="744" spans="1:6">
      <c r="A744" s="35"/>
      <c r="B744" s="35"/>
      <c r="C744" s="35"/>
      <c r="D744" s="35"/>
      <c r="E744" s="35"/>
      <c r="F744" s="35"/>
    </row>
    <row r="745" spans="1:6">
      <c r="A745" s="35"/>
      <c r="B745" s="35"/>
      <c r="C745" s="35"/>
      <c r="D745" s="35"/>
      <c r="E745" s="35"/>
      <c r="F745" s="35"/>
    </row>
    <row r="746" spans="1:6">
      <c r="A746" s="35"/>
      <c r="B746" s="35"/>
      <c r="C746" s="35"/>
      <c r="D746" s="35"/>
      <c r="E746" s="35"/>
      <c r="F746" s="35"/>
    </row>
    <row r="747" spans="1:6">
      <c r="A747" s="35"/>
      <c r="B747" s="35"/>
      <c r="C747" s="35"/>
      <c r="D747" s="35"/>
      <c r="E747" s="35"/>
      <c r="F747" s="35"/>
    </row>
    <row r="748" spans="1:6">
      <c r="A748" s="35"/>
      <c r="B748" s="35"/>
      <c r="C748" s="35"/>
      <c r="D748" s="35"/>
      <c r="E748" s="35"/>
      <c r="F748" s="35"/>
    </row>
    <row r="749" spans="1:6">
      <c r="A749" s="35"/>
      <c r="B749" s="35"/>
      <c r="C749" s="35"/>
      <c r="D749" s="35"/>
      <c r="E749" s="35"/>
      <c r="F749" s="35"/>
    </row>
    <row r="750" spans="1:6">
      <c r="A750" s="35"/>
      <c r="B750" s="35"/>
      <c r="C750" s="35"/>
      <c r="D750" s="35"/>
      <c r="E750" s="35"/>
      <c r="F750" s="35"/>
    </row>
    <row r="751" spans="1:6">
      <c r="A751" s="35"/>
      <c r="B751" s="35"/>
      <c r="C751" s="35"/>
      <c r="D751" s="35"/>
      <c r="E751" s="35"/>
      <c r="F751" s="35"/>
    </row>
    <row r="752" spans="1:6">
      <c r="A752" s="35"/>
      <c r="B752" s="35"/>
      <c r="C752" s="35"/>
      <c r="D752" s="35"/>
      <c r="E752" s="35"/>
      <c r="F752" s="35"/>
    </row>
    <row r="753" spans="1:6">
      <c r="A753" s="35"/>
      <c r="B753" s="35"/>
      <c r="C753" s="35"/>
      <c r="D753" s="35"/>
      <c r="E753" s="35"/>
      <c r="F753" s="35"/>
    </row>
    <row r="754" spans="1:6">
      <c r="A754" s="35"/>
      <c r="B754" s="35"/>
      <c r="C754" s="35"/>
      <c r="D754" s="35"/>
      <c r="E754" s="35"/>
      <c r="F754" s="35"/>
    </row>
    <row r="755" spans="1:6">
      <c r="A755" s="35"/>
      <c r="B755" s="35"/>
      <c r="C755" s="35"/>
      <c r="D755" s="35"/>
      <c r="E755" s="35"/>
      <c r="F755" s="35"/>
    </row>
    <row r="756" spans="1:6">
      <c r="A756" s="35"/>
      <c r="B756" s="35"/>
      <c r="C756" s="35"/>
      <c r="D756" s="35"/>
      <c r="E756" s="35"/>
      <c r="F756" s="35"/>
    </row>
    <row r="757" spans="1:6">
      <c r="A757" s="35"/>
      <c r="B757" s="35"/>
      <c r="C757" s="35"/>
      <c r="D757" s="35"/>
      <c r="E757" s="35"/>
      <c r="F757" s="35"/>
    </row>
    <row r="758" spans="1:6">
      <c r="A758" s="35"/>
      <c r="B758" s="35"/>
      <c r="C758" s="35"/>
      <c r="D758" s="35"/>
      <c r="E758" s="35"/>
      <c r="F758" s="35"/>
    </row>
    <row r="759" spans="1:6">
      <c r="A759" s="35"/>
      <c r="B759" s="35"/>
      <c r="C759" s="35"/>
      <c r="D759" s="35"/>
      <c r="E759" s="35"/>
      <c r="F759" s="35"/>
    </row>
    <row r="760" spans="1:6">
      <c r="A760" s="35"/>
      <c r="B760" s="35"/>
      <c r="C760" s="35"/>
      <c r="D760" s="35"/>
      <c r="E760" s="35"/>
      <c r="F760" s="35"/>
    </row>
    <row r="761" spans="1:6">
      <c r="A761" s="35"/>
      <c r="B761" s="35"/>
      <c r="C761" s="35"/>
      <c r="D761" s="35"/>
      <c r="E761" s="35"/>
      <c r="F761" s="35"/>
    </row>
    <row r="762" spans="1:6">
      <c r="A762" s="35"/>
      <c r="B762" s="35"/>
      <c r="C762" s="35"/>
      <c r="D762" s="35"/>
      <c r="E762" s="35"/>
      <c r="F762" s="35"/>
    </row>
    <row r="763" spans="1:6">
      <c r="A763" s="35"/>
      <c r="B763" s="35"/>
      <c r="C763" s="35"/>
      <c r="D763" s="35"/>
      <c r="E763" s="35"/>
      <c r="F763" s="35"/>
    </row>
    <row r="764" spans="1:6">
      <c r="A764" s="35"/>
      <c r="B764" s="35"/>
      <c r="C764" s="35"/>
      <c r="D764" s="35"/>
      <c r="E764" s="35"/>
      <c r="F764" s="35"/>
    </row>
    <row r="765" spans="1:6">
      <c r="A765" s="35"/>
      <c r="B765" s="35"/>
      <c r="C765" s="35"/>
      <c r="D765" s="35"/>
      <c r="E765" s="35"/>
      <c r="F765" s="35"/>
    </row>
    <row r="766" spans="1:6">
      <c r="A766" s="35"/>
      <c r="B766" s="35"/>
      <c r="C766" s="35"/>
      <c r="D766" s="35"/>
      <c r="E766" s="35"/>
      <c r="F766" s="35"/>
    </row>
    <row r="767" spans="1:6">
      <c r="A767" s="35"/>
      <c r="B767" s="35"/>
      <c r="C767" s="35"/>
      <c r="D767" s="35"/>
      <c r="E767" s="35"/>
      <c r="F767" s="35"/>
    </row>
    <row r="768" spans="1:6">
      <c r="A768" s="35"/>
      <c r="B768" s="35"/>
      <c r="C768" s="35"/>
      <c r="D768" s="35"/>
      <c r="E768" s="35"/>
      <c r="F768" s="35"/>
    </row>
    <row r="769" spans="1:6">
      <c r="A769" s="35"/>
      <c r="B769" s="35"/>
      <c r="C769" s="35"/>
      <c r="D769" s="35"/>
      <c r="E769" s="35"/>
      <c r="F769" s="35"/>
    </row>
    <row r="770" spans="1:6">
      <c r="A770" s="35"/>
      <c r="B770" s="35"/>
      <c r="C770" s="35"/>
      <c r="D770" s="35"/>
      <c r="E770" s="35"/>
      <c r="F770" s="35"/>
    </row>
    <row r="771" spans="1:6">
      <c r="A771" s="35"/>
      <c r="B771" s="35"/>
      <c r="C771" s="35"/>
      <c r="D771" s="35"/>
      <c r="E771" s="35"/>
      <c r="F771" s="35"/>
    </row>
    <row r="772" spans="1:6">
      <c r="A772" s="35"/>
      <c r="B772" s="35"/>
      <c r="C772" s="35"/>
      <c r="D772" s="35"/>
      <c r="E772" s="35"/>
      <c r="F772" s="35"/>
    </row>
    <row r="773" spans="1:6">
      <c r="A773" s="35"/>
      <c r="B773" s="35"/>
      <c r="C773" s="35"/>
      <c r="D773" s="35"/>
      <c r="E773" s="35"/>
      <c r="F773" s="35"/>
    </row>
    <row r="774" spans="1:6">
      <c r="A774" s="35"/>
      <c r="B774" s="35"/>
      <c r="C774" s="35"/>
      <c r="D774" s="35"/>
      <c r="E774" s="35"/>
      <c r="F774" s="35"/>
    </row>
    <row r="775" spans="1:6">
      <c r="A775" s="35"/>
      <c r="B775" s="35"/>
      <c r="C775" s="35"/>
      <c r="D775" s="35"/>
      <c r="E775" s="35"/>
      <c r="F775" s="35"/>
    </row>
    <row r="776" spans="1:6">
      <c r="A776" s="35"/>
      <c r="B776" s="35"/>
      <c r="C776" s="35"/>
      <c r="D776" s="35"/>
      <c r="E776" s="35"/>
      <c r="F776" s="35"/>
    </row>
    <row r="777" spans="1:6">
      <c r="A777" s="35"/>
      <c r="B777" s="35"/>
      <c r="C777" s="35"/>
      <c r="D777" s="35"/>
      <c r="E777" s="35"/>
      <c r="F777" s="35"/>
    </row>
    <row r="778" spans="1:6">
      <c r="A778" s="35"/>
      <c r="B778" s="35"/>
      <c r="C778" s="35"/>
      <c r="D778" s="35"/>
      <c r="E778" s="35"/>
      <c r="F778" s="35"/>
    </row>
    <row r="779" spans="1:6">
      <c r="A779" s="35"/>
      <c r="B779" s="35"/>
      <c r="C779" s="35"/>
      <c r="D779" s="35"/>
      <c r="E779" s="35"/>
      <c r="F779" s="35"/>
    </row>
    <row r="780" spans="1:6">
      <c r="A780" s="35"/>
      <c r="B780" s="35"/>
      <c r="C780" s="35"/>
      <c r="D780" s="35"/>
      <c r="E780" s="35"/>
      <c r="F780" s="35"/>
    </row>
    <row r="781" spans="1:6">
      <c r="A781" s="35"/>
      <c r="B781" s="35"/>
      <c r="C781" s="35"/>
      <c r="D781" s="35"/>
      <c r="E781" s="35"/>
      <c r="F781" s="35"/>
    </row>
    <row r="782" spans="1:6">
      <c r="A782" s="35"/>
      <c r="B782" s="35"/>
      <c r="C782" s="35"/>
      <c r="D782" s="35"/>
      <c r="E782" s="35"/>
      <c r="F782" s="35"/>
    </row>
    <row r="783" spans="1:6">
      <c r="A783" s="35"/>
      <c r="B783" s="35"/>
      <c r="C783" s="35"/>
      <c r="D783" s="35"/>
      <c r="E783" s="35"/>
      <c r="F783" s="35"/>
    </row>
    <row r="784" spans="1:6">
      <c r="A784" s="35"/>
      <c r="B784" s="35"/>
      <c r="C784" s="35"/>
      <c r="D784" s="35"/>
      <c r="E784" s="35"/>
      <c r="F784" s="35"/>
    </row>
    <row r="785" spans="1:6">
      <c r="A785" s="35"/>
      <c r="B785" s="35"/>
      <c r="C785" s="35"/>
      <c r="D785" s="35"/>
      <c r="E785" s="35"/>
      <c r="F785" s="35"/>
    </row>
    <row r="786" spans="1:6">
      <c r="A786" s="35"/>
      <c r="B786" s="35"/>
      <c r="C786" s="35"/>
      <c r="D786" s="35"/>
      <c r="E786" s="35"/>
      <c r="F786" s="35"/>
    </row>
    <row r="787" spans="1:6">
      <c r="A787" s="35"/>
      <c r="B787" s="35"/>
      <c r="C787" s="35"/>
      <c r="D787" s="35"/>
      <c r="E787" s="35"/>
      <c r="F787" s="35"/>
    </row>
    <row r="788" spans="1:6">
      <c r="A788" s="35"/>
      <c r="B788" s="35"/>
      <c r="C788" s="35"/>
      <c r="D788" s="35"/>
      <c r="E788" s="35"/>
      <c r="F788" s="35"/>
    </row>
    <row r="789" spans="1:6">
      <c r="A789" s="35"/>
      <c r="B789" s="35"/>
      <c r="C789" s="35"/>
      <c r="D789" s="35"/>
      <c r="E789" s="35"/>
      <c r="F789" s="35"/>
    </row>
    <row r="790" spans="1:6">
      <c r="A790" s="35"/>
      <c r="B790" s="35"/>
      <c r="C790" s="35"/>
      <c r="D790" s="35"/>
      <c r="E790" s="35"/>
      <c r="F790" s="35"/>
    </row>
    <row r="791" spans="1:6">
      <c r="A791" s="35"/>
      <c r="B791" s="35"/>
      <c r="C791" s="35"/>
      <c r="D791" s="35"/>
      <c r="E791" s="35"/>
      <c r="F791" s="35"/>
    </row>
    <row r="792" spans="1:6">
      <c r="A792" s="35"/>
      <c r="B792" s="35"/>
      <c r="C792" s="35"/>
      <c r="D792" s="35"/>
      <c r="E792" s="35"/>
      <c r="F792" s="35"/>
    </row>
    <row r="793" spans="1:6">
      <c r="A793" s="35"/>
      <c r="B793" s="35"/>
      <c r="C793" s="35"/>
      <c r="D793" s="35"/>
      <c r="E793" s="35"/>
      <c r="F793" s="35"/>
    </row>
    <row r="794" spans="1:6">
      <c r="A794" s="35"/>
      <c r="B794" s="35"/>
      <c r="C794" s="35"/>
      <c r="D794" s="35"/>
      <c r="E794" s="35"/>
      <c r="F794" s="35"/>
    </row>
    <row r="795" spans="1:6">
      <c r="A795" s="35"/>
      <c r="B795" s="35"/>
      <c r="C795" s="35"/>
      <c r="D795" s="35"/>
      <c r="E795" s="35"/>
      <c r="F795" s="35"/>
    </row>
    <row r="796" spans="1:6">
      <c r="A796" s="35"/>
      <c r="B796" s="35"/>
      <c r="C796" s="35"/>
      <c r="D796" s="35"/>
      <c r="E796" s="35"/>
      <c r="F796" s="35"/>
    </row>
    <row r="797" spans="1:6">
      <c r="A797" s="35"/>
      <c r="B797" s="35"/>
      <c r="C797" s="35"/>
      <c r="D797" s="35"/>
      <c r="E797" s="35"/>
      <c r="F797" s="35"/>
    </row>
    <row r="798" spans="1:6">
      <c r="A798" s="35"/>
      <c r="B798" s="35"/>
      <c r="C798" s="35"/>
      <c r="D798" s="35"/>
      <c r="E798" s="35"/>
      <c r="F798" s="35"/>
    </row>
    <row r="799" spans="1:6">
      <c r="A799" s="35"/>
      <c r="B799" s="35"/>
      <c r="C799" s="35"/>
      <c r="D799" s="35"/>
      <c r="E799" s="35"/>
      <c r="F799" s="35"/>
    </row>
    <row r="800" spans="1:6">
      <c r="A800" s="35"/>
      <c r="B800" s="35"/>
      <c r="C800" s="35"/>
      <c r="D800" s="35"/>
      <c r="E800" s="35"/>
      <c r="F800" s="35"/>
    </row>
    <row r="801" spans="1:6">
      <c r="A801" s="35"/>
      <c r="B801" s="35"/>
      <c r="C801" s="35"/>
      <c r="D801" s="35"/>
      <c r="E801" s="35"/>
      <c r="F801" s="35"/>
    </row>
    <row r="802" spans="1:6">
      <c r="A802" s="35"/>
      <c r="B802" s="35"/>
      <c r="C802" s="35"/>
      <c r="D802" s="35"/>
      <c r="E802" s="35"/>
      <c r="F802" s="35"/>
    </row>
    <row r="803" spans="1:6">
      <c r="A803" s="35"/>
      <c r="B803" s="35"/>
      <c r="C803" s="35"/>
      <c r="D803" s="35"/>
      <c r="E803" s="35"/>
      <c r="F803" s="35"/>
    </row>
    <row r="804" spans="1:6">
      <c r="A804" s="35"/>
      <c r="B804" s="35"/>
      <c r="C804" s="35"/>
      <c r="D804" s="35"/>
      <c r="E804" s="35"/>
      <c r="F804" s="35"/>
    </row>
    <row r="805" spans="1:6">
      <c r="A805" s="35"/>
      <c r="B805" s="35"/>
      <c r="C805" s="35"/>
      <c r="D805" s="35"/>
      <c r="E805" s="35"/>
      <c r="F805" s="35"/>
    </row>
    <row r="806" spans="1:6">
      <c r="A806" s="35"/>
      <c r="B806" s="35"/>
      <c r="C806" s="35"/>
      <c r="D806" s="35"/>
      <c r="E806" s="35"/>
      <c r="F806" s="35"/>
    </row>
    <row r="807" spans="1:6">
      <c r="A807" s="35"/>
      <c r="B807" s="35"/>
      <c r="C807" s="35"/>
      <c r="D807" s="35"/>
      <c r="E807" s="35"/>
      <c r="F807" s="35"/>
    </row>
    <row r="808" spans="1:6">
      <c r="A808" s="35"/>
      <c r="B808" s="35"/>
      <c r="C808" s="35"/>
      <c r="D808" s="35"/>
      <c r="E808" s="35"/>
      <c r="F808" s="35"/>
    </row>
    <row r="809" spans="1:6">
      <c r="A809" s="35"/>
      <c r="B809" s="35"/>
      <c r="C809" s="35"/>
      <c r="D809" s="35"/>
      <c r="E809" s="35"/>
      <c r="F809" s="35"/>
    </row>
    <row r="810" spans="1:6">
      <c r="A810" s="35"/>
      <c r="B810" s="35"/>
      <c r="C810" s="35"/>
      <c r="D810" s="35"/>
      <c r="E810" s="35"/>
      <c r="F810" s="35"/>
    </row>
    <row r="811" spans="1:6">
      <c r="A811" s="35"/>
      <c r="B811" s="35"/>
      <c r="C811" s="35"/>
      <c r="D811" s="35"/>
      <c r="E811" s="35"/>
      <c r="F811" s="35"/>
    </row>
    <row r="812" spans="1:6">
      <c r="A812" s="35"/>
      <c r="B812" s="35"/>
      <c r="C812" s="35"/>
      <c r="D812" s="35"/>
      <c r="E812" s="35"/>
      <c r="F812" s="35"/>
    </row>
    <row r="813" spans="1:6">
      <c r="A813" s="35"/>
      <c r="B813" s="35"/>
      <c r="C813" s="35"/>
      <c r="D813" s="35"/>
      <c r="E813" s="35"/>
      <c r="F813" s="35"/>
    </row>
    <row r="814" spans="1:6">
      <c r="A814" s="35"/>
      <c r="B814" s="35"/>
      <c r="C814" s="35"/>
      <c r="D814" s="35"/>
      <c r="E814" s="35"/>
      <c r="F814" s="35"/>
    </row>
    <row r="815" spans="1:6">
      <c r="A815" s="35"/>
      <c r="B815" s="35"/>
      <c r="C815" s="35"/>
      <c r="D815" s="35"/>
      <c r="E815" s="35"/>
      <c r="F815" s="35"/>
    </row>
    <row r="816" spans="1:6">
      <c r="A816" s="35"/>
      <c r="B816" s="35"/>
      <c r="C816" s="35"/>
      <c r="D816" s="35"/>
      <c r="E816" s="35"/>
      <c r="F816" s="35"/>
    </row>
    <row r="817" spans="1:6">
      <c r="A817" s="35"/>
      <c r="B817" s="35"/>
      <c r="C817" s="35"/>
      <c r="D817" s="35"/>
      <c r="E817" s="35"/>
      <c r="F817" s="35"/>
    </row>
    <row r="818" spans="1:6">
      <c r="A818" s="35"/>
      <c r="B818" s="35"/>
      <c r="C818" s="35"/>
      <c r="D818" s="35"/>
      <c r="E818" s="35"/>
      <c r="F818" s="35"/>
    </row>
    <row r="819" spans="1:6">
      <c r="A819" s="35"/>
      <c r="B819" s="35"/>
      <c r="C819" s="35"/>
      <c r="D819" s="35"/>
      <c r="E819" s="35"/>
      <c r="F819" s="35"/>
    </row>
    <row r="820" spans="1:6">
      <c r="A820" s="35"/>
      <c r="B820" s="35"/>
      <c r="C820" s="35"/>
      <c r="D820" s="35"/>
      <c r="E820" s="35"/>
      <c r="F820" s="35"/>
    </row>
    <row r="821" spans="1:6">
      <c r="A821" s="35"/>
      <c r="B821" s="35"/>
      <c r="C821" s="35"/>
      <c r="D821" s="35"/>
      <c r="E821" s="35"/>
      <c r="F821" s="35"/>
    </row>
    <row r="822" spans="1:6">
      <c r="A822" s="35"/>
      <c r="B822" s="35"/>
      <c r="C822" s="35"/>
      <c r="D822" s="35"/>
      <c r="E822" s="35"/>
      <c r="F822" s="35"/>
    </row>
    <row r="823" spans="1:6">
      <c r="A823" s="35"/>
      <c r="B823" s="35"/>
      <c r="C823" s="35"/>
      <c r="D823" s="35"/>
      <c r="E823" s="35"/>
      <c r="F823" s="35"/>
    </row>
    <row r="824" spans="1:6">
      <c r="A824" s="35"/>
      <c r="B824" s="35"/>
      <c r="C824" s="35"/>
      <c r="D824" s="35"/>
      <c r="E824" s="35"/>
      <c r="F824" s="35"/>
    </row>
    <row r="825" spans="1:6">
      <c r="A825" s="35"/>
      <c r="B825" s="35"/>
      <c r="C825" s="35"/>
      <c r="D825" s="35"/>
      <c r="E825" s="35"/>
      <c r="F825" s="35"/>
    </row>
    <row r="826" spans="1:6">
      <c r="A826" s="35"/>
      <c r="B826" s="35"/>
      <c r="C826" s="35"/>
      <c r="D826" s="35"/>
      <c r="E826" s="35"/>
      <c r="F826" s="35"/>
    </row>
    <row r="827" spans="1:6">
      <c r="A827" s="35"/>
      <c r="B827" s="35"/>
      <c r="C827" s="35"/>
      <c r="D827" s="35"/>
      <c r="E827" s="35"/>
      <c r="F827" s="35"/>
    </row>
    <row r="828" spans="1:6">
      <c r="A828" s="35"/>
      <c r="B828" s="35"/>
      <c r="C828" s="35"/>
      <c r="D828" s="35"/>
      <c r="E828" s="35"/>
      <c r="F828" s="35"/>
    </row>
    <row r="829" spans="1:6">
      <c r="A829" s="35"/>
      <c r="B829" s="35"/>
      <c r="C829" s="35"/>
      <c r="D829" s="35"/>
      <c r="E829" s="35"/>
      <c r="F829" s="35"/>
    </row>
    <row r="830" spans="1:6">
      <c r="A830" s="35"/>
      <c r="B830" s="35"/>
      <c r="C830" s="35"/>
      <c r="D830" s="35"/>
      <c r="E830" s="35"/>
      <c r="F830" s="35"/>
    </row>
    <row r="831" spans="1:6">
      <c r="A831" s="35"/>
      <c r="B831" s="35"/>
      <c r="C831" s="35"/>
      <c r="D831" s="35"/>
      <c r="E831" s="35"/>
      <c r="F831" s="35"/>
    </row>
    <row r="832" spans="1:6">
      <c r="A832" s="35"/>
      <c r="B832" s="35"/>
      <c r="C832" s="35"/>
      <c r="D832" s="35"/>
      <c r="E832" s="35"/>
      <c r="F832" s="35"/>
    </row>
    <row r="833" spans="1:6">
      <c r="A833" s="35"/>
      <c r="B833" s="35"/>
      <c r="C833" s="35"/>
      <c r="D833" s="35"/>
      <c r="E833" s="35"/>
      <c r="F833" s="35"/>
    </row>
    <row r="834" spans="1:6">
      <c r="A834" s="35"/>
      <c r="B834" s="35"/>
      <c r="C834" s="35"/>
      <c r="D834" s="35"/>
      <c r="E834" s="35"/>
      <c r="F834" s="35"/>
    </row>
    <row r="835" spans="1:6">
      <c r="A835" s="35"/>
      <c r="B835" s="35"/>
      <c r="C835" s="35"/>
      <c r="D835" s="35"/>
      <c r="E835" s="35"/>
      <c r="F835" s="35"/>
    </row>
    <row r="836" spans="1:6">
      <c r="A836" s="35"/>
      <c r="B836" s="35"/>
      <c r="C836" s="35"/>
      <c r="D836" s="35"/>
      <c r="E836" s="35"/>
      <c r="F836" s="35"/>
    </row>
    <row r="837" spans="1:6">
      <c r="A837" s="35"/>
      <c r="B837" s="35"/>
      <c r="C837" s="35"/>
      <c r="D837" s="35"/>
      <c r="E837" s="35"/>
      <c r="F837" s="35"/>
    </row>
    <row r="838" spans="1:6">
      <c r="A838" s="35"/>
      <c r="B838" s="35"/>
      <c r="C838" s="35"/>
      <c r="D838" s="35"/>
      <c r="E838" s="35"/>
      <c r="F838" s="35"/>
    </row>
    <row r="839" spans="1:6">
      <c r="A839" s="35"/>
      <c r="B839" s="35"/>
      <c r="C839" s="35"/>
      <c r="D839" s="35"/>
      <c r="E839" s="35"/>
      <c r="F839" s="35"/>
    </row>
    <row r="840" spans="1:6">
      <c r="A840" s="35"/>
      <c r="B840" s="35"/>
      <c r="C840" s="35"/>
      <c r="D840" s="35"/>
      <c r="E840" s="35"/>
      <c r="F840" s="35"/>
    </row>
    <row r="841" spans="1:6">
      <c r="A841" s="35"/>
      <c r="B841" s="35"/>
      <c r="C841" s="35"/>
      <c r="D841" s="35"/>
      <c r="E841" s="35"/>
      <c r="F841" s="35"/>
    </row>
    <row r="842" spans="1:6">
      <c r="A842" s="35"/>
      <c r="B842" s="35"/>
      <c r="C842" s="35"/>
      <c r="D842" s="35"/>
      <c r="E842" s="35"/>
      <c r="F842" s="35"/>
    </row>
    <row r="843" spans="1:6">
      <c r="A843" s="35"/>
      <c r="B843" s="35"/>
      <c r="C843" s="35"/>
      <c r="D843" s="35"/>
      <c r="E843" s="35"/>
      <c r="F843" s="35"/>
    </row>
    <row r="844" spans="1:6">
      <c r="A844" s="35"/>
      <c r="B844" s="35"/>
      <c r="C844" s="35"/>
      <c r="D844" s="35"/>
      <c r="E844" s="35"/>
      <c r="F844" s="35"/>
    </row>
    <row r="845" spans="1:6">
      <c r="A845" s="35"/>
      <c r="B845" s="35"/>
      <c r="C845" s="35"/>
      <c r="D845" s="35"/>
      <c r="E845" s="35"/>
      <c r="F845" s="35"/>
    </row>
    <row r="846" spans="1:6">
      <c r="A846" s="35"/>
      <c r="B846" s="35"/>
      <c r="C846" s="35"/>
      <c r="D846" s="35"/>
      <c r="E846" s="35"/>
      <c r="F846" s="35"/>
    </row>
    <row r="847" spans="1:6">
      <c r="A847" s="35"/>
      <c r="B847" s="35"/>
      <c r="C847" s="35"/>
      <c r="D847" s="35"/>
      <c r="E847" s="35"/>
      <c r="F847" s="35"/>
    </row>
    <row r="848" spans="1:6">
      <c r="A848" s="35"/>
      <c r="B848" s="35"/>
      <c r="C848" s="35"/>
      <c r="D848" s="35"/>
      <c r="E848" s="35"/>
      <c r="F848" s="35"/>
    </row>
    <row r="849" spans="1:6">
      <c r="A849" s="35"/>
      <c r="B849" s="35"/>
      <c r="C849" s="35"/>
      <c r="D849" s="35"/>
      <c r="E849" s="35"/>
      <c r="F849" s="35"/>
    </row>
    <row r="850" spans="1:6">
      <c r="A850" s="35"/>
      <c r="B850" s="35"/>
      <c r="C850" s="35"/>
      <c r="D850" s="35"/>
      <c r="E850" s="35"/>
      <c r="F850" s="35"/>
    </row>
    <row r="851" spans="1:6">
      <c r="A851" s="35"/>
      <c r="B851" s="35"/>
      <c r="C851" s="35"/>
      <c r="D851" s="35"/>
      <c r="E851" s="35"/>
      <c r="F851" s="35"/>
    </row>
    <row r="852" spans="1:6">
      <c r="A852" s="35"/>
      <c r="B852" s="35"/>
      <c r="C852" s="35"/>
      <c r="D852" s="35"/>
      <c r="E852" s="35"/>
      <c r="F852" s="35"/>
    </row>
    <row r="853" spans="1:6">
      <c r="A853" s="35"/>
      <c r="B853" s="35"/>
      <c r="C853" s="35"/>
      <c r="D853" s="35"/>
      <c r="E853" s="35"/>
      <c r="F853" s="35"/>
    </row>
    <row r="854" spans="1:6">
      <c r="A854" s="35"/>
      <c r="B854" s="35"/>
      <c r="C854" s="35"/>
      <c r="D854" s="35"/>
      <c r="E854" s="35"/>
      <c r="F854" s="35"/>
    </row>
    <row r="855" spans="1:6">
      <c r="A855" s="35"/>
      <c r="B855" s="35"/>
      <c r="C855" s="35"/>
      <c r="D855" s="35"/>
      <c r="E855" s="35"/>
      <c r="F855" s="35"/>
    </row>
    <row r="856" spans="1:6">
      <c r="A856" s="35"/>
      <c r="B856" s="35"/>
      <c r="C856" s="35"/>
      <c r="D856" s="35"/>
      <c r="E856" s="35"/>
      <c r="F856" s="35"/>
    </row>
    <row r="857" spans="1:6">
      <c r="A857" s="35"/>
      <c r="B857" s="35"/>
      <c r="C857" s="35"/>
      <c r="D857" s="35"/>
      <c r="E857" s="35"/>
      <c r="F857" s="35"/>
    </row>
    <row r="858" spans="1:6">
      <c r="A858" s="35"/>
      <c r="B858" s="35"/>
      <c r="C858" s="35"/>
      <c r="D858" s="35"/>
      <c r="E858" s="35"/>
      <c r="F858" s="35"/>
    </row>
    <row r="859" spans="1:6">
      <c r="A859" s="35"/>
      <c r="B859" s="35"/>
      <c r="C859" s="35"/>
      <c r="D859" s="35"/>
      <c r="E859" s="35"/>
      <c r="F859" s="35"/>
    </row>
    <row r="860" spans="1:6">
      <c r="A860" s="35"/>
      <c r="B860" s="35"/>
      <c r="C860" s="35"/>
      <c r="D860" s="35"/>
      <c r="E860" s="35"/>
      <c r="F860" s="35"/>
    </row>
    <row r="861" spans="1:6">
      <c r="A861" s="35"/>
      <c r="B861" s="35"/>
      <c r="C861" s="35"/>
      <c r="D861" s="35"/>
      <c r="E861" s="35"/>
      <c r="F861" s="35"/>
    </row>
    <row r="862" spans="1:6">
      <c r="A862" s="35"/>
      <c r="B862" s="35"/>
      <c r="C862" s="35"/>
      <c r="D862" s="35"/>
      <c r="E862" s="35"/>
      <c r="F862" s="35"/>
    </row>
    <row r="863" spans="1:6">
      <c r="A863" s="35"/>
      <c r="B863" s="35"/>
      <c r="C863" s="35"/>
      <c r="D863" s="35"/>
      <c r="E863" s="35"/>
      <c r="F863" s="35"/>
    </row>
    <row r="864" spans="1:6">
      <c r="A864" s="35"/>
      <c r="B864" s="35"/>
      <c r="C864" s="35"/>
      <c r="D864" s="35"/>
      <c r="E864" s="35"/>
      <c r="F864" s="35"/>
    </row>
    <row r="865" spans="1:6">
      <c r="A865" s="35"/>
      <c r="B865" s="35"/>
      <c r="C865" s="35"/>
      <c r="D865" s="35"/>
      <c r="E865" s="35"/>
      <c r="F865" s="35"/>
    </row>
    <row r="866" spans="1:6">
      <c r="A866" s="35"/>
      <c r="B866" s="35"/>
      <c r="C866" s="35"/>
      <c r="D866" s="35"/>
      <c r="E866" s="35"/>
      <c r="F866" s="35"/>
    </row>
    <row r="867" spans="1:6">
      <c r="A867" s="35"/>
      <c r="B867" s="35"/>
      <c r="C867" s="35"/>
      <c r="D867" s="35"/>
      <c r="E867" s="35"/>
      <c r="F867" s="35"/>
    </row>
    <row r="868" spans="1:6">
      <c r="A868" s="35"/>
      <c r="B868" s="35"/>
      <c r="C868" s="35"/>
      <c r="D868" s="35"/>
      <c r="E868" s="35"/>
      <c r="F868" s="35"/>
    </row>
    <row r="869" spans="1:6">
      <c r="A869" s="35"/>
      <c r="B869" s="35"/>
      <c r="C869" s="35"/>
      <c r="D869" s="35"/>
      <c r="E869" s="35"/>
      <c r="F869" s="35"/>
    </row>
    <row r="870" spans="1:6">
      <c r="A870" s="35"/>
      <c r="B870" s="35"/>
      <c r="C870" s="35"/>
      <c r="D870" s="35"/>
      <c r="E870" s="35"/>
      <c r="F870" s="35"/>
    </row>
    <row r="871" spans="1:6">
      <c r="A871" s="35"/>
      <c r="B871" s="35"/>
      <c r="C871" s="35"/>
      <c r="D871" s="35"/>
      <c r="E871" s="35"/>
      <c r="F871" s="35"/>
    </row>
    <row r="872" spans="1:6">
      <c r="A872" s="35"/>
      <c r="B872" s="35"/>
      <c r="C872" s="35"/>
      <c r="D872" s="35"/>
      <c r="E872" s="35"/>
      <c r="F872" s="35"/>
    </row>
    <row r="873" spans="1:6">
      <c r="A873" s="35"/>
      <c r="B873" s="35"/>
      <c r="C873" s="35"/>
      <c r="D873" s="35"/>
      <c r="E873" s="35"/>
      <c r="F873" s="35"/>
    </row>
    <row r="874" spans="1:6">
      <c r="A874" s="35"/>
      <c r="B874" s="35"/>
      <c r="C874" s="35"/>
      <c r="D874" s="35"/>
      <c r="E874" s="35"/>
      <c r="F874" s="35"/>
    </row>
  </sheetData>
  <autoFilter xmlns:etc="http://www.wps.cn/officeDocument/2017/etCustomData" ref="A1:E65526" etc:filterBottomFollowUsedRange="0">
    <extLst/>
  </autoFilter>
  <dataValidations count="1">
    <dataValidation type="list" allowBlank="1" showInputMessage="1" showErrorMessage="1" sqref="D381:D441">
      <formula1>"一定要搬,可搬可不搬,一定不搬（今年报废）"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"/>
    </sheetView>
  </sheetViews>
  <sheetFormatPr defaultColWidth="8.725" defaultRowHeight="13.5" outlineLevelCol="4"/>
  <cols>
    <col min="1" max="1" width="21.1833333333333" customWidth="1"/>
    <col min="2" max="2" width="11.725" customWidth="1"/>
    <col min="3" max="3" width="18.275" customWidth="1"/>
    <col min="4" max="4" width="12.275" customWidth="1"/>
    <col min="5" max="5" width="10.6333333333333" customWidth="1"/>
  </cols>
  <sheetData>
    <row r="1" spans="1:5">
      <c r="A1" s="30" t="s">
        <v>0</v>
      </c>
      <c r="B1" s="30" t="s">
        <v>1</v>
      </c>
      <c r="C1" s="30" t="s">
        <v>2</v>
      </c>
      <c r="D1" s="2" t="s">
        <v>3</v>
      </c>
      <c r="E1" s="2" t="s">
        <v>4</v>
      </c>
    </row>
    <row r="2" spans="1:5">
      <c r="A2" s="30" t="s">
        <v>5086</v>
      </c>
      <c r="B2" s="30">
        <v>20210884</v>
      </c>
      <c r="C2" s="30" t="s">
        <v>5087</v>
      </c>
      <c r="D2" s="2" t="s">
        <v>7</v>
      </c>
      <c r="E2" s="3">
        <v>1</v>
      </c>
    </row>
    <row r="3" spans="1:5">
      <c r="A3" s="30" t="s">
        <v>5086</v>
      </c>
      <c r="B3" s="30">
        <v>20210885</v>
      </c>
      <c r="C3" s="30" t="s">
        <v>5088</v>
      </c>
      <c r="D3" s="2" t="s">
        <v>7</v>
      </c>
      <c r="E3" s="3">
        <v>1</v>
      </c>
    </row>
    <row r="4" spans="1:5">
      <c r="A4" s="30" t="s">
        <v>5086</v>
      </c>
      <c r="B4" s="30">
        <v>20210886</v>
      </c>
      <c r="C4" s="30" t="s">
        <v>5089</v>
      </c>
      <c r="D4" s="2" t="s">
        <v>7</v>
      </c>
      <c r="E4" s="3">
        <v>1</v>
      </c>
    </row>
    <row r="5" spans="1:5">
      <c r="A5" s="30" t="s">
        <v>5086</v>
      </c>
      <c r="B5" s="30">
        <v>20210887</v>
      </c>
      <c r="C5" s="30" t="s">
        <v>94</v>
      </c>
      <c r="D5" s="2" t="s">
        <v>7</v>
      </c>
      <c r="E5" s="3">
        <v>1</v>
      </c>
    </row>
    <row r="6" spans="1:5">
      <c r="A6" s="30" t="s">
        <v>5086</v>
      </c>
      <c r="B6" s="30">
        <v>20210888</v>
      </c>
      <c r="C6" s="30" t="s">
        <v>5090</v>
      </c>
      <c r="D6" s="2" t="s">
        <v>7</v>
      </c>
      <c r="E6" s="3">
        <v>1</v>
      </c>
    </row>
    <row r="7" spans="1:5">
      <c r="A7" s="30" t="s">
        <v>5086</v>
      </c>
      <c r="B7" s="30">
        <v>20210889</v>
      </c>
      <c r="C7" s="30" t="s">
        <v>5090</v>
      </c>
      <c r="D7" s="2" t="s">
        <v>7</v>
      </c>
      <c r="E7" s="3">
        <v>1</v>
      </c>
    </row>
    <row r="8" spans="1:5">
      <c r="A8" s="30" t="s">
        <v>5086</v>
      </c>
      <c r="B8" s="30">
        <v>20210890</v>
      </c>
      <c r="C8" s="30" t="s">
        <v>5091</v>
      </c>
      <c r="D8" s="2" t="s">
        <v>7</v>
      </c>
      <c r="E8" s="3">
        <v>1</v>
      </c>
    </row>
    <row r="9" spans="1:5">
      <c r="A9" s="30" t="s">
        <v>5086</v>
      </c>
      <c r="B9" s="30">
        <v>20210891</v>
      </c>
      <c r="C9" s="30" t="s">
        <v>5092</v>
      </c>
      <c r="D9" s="2" t="s">
        <v>7</v>
      </c>
      <c r="E9" s="3">
        <v>1</v>
      </c>
    </row>
    <row r="10" spans="1:5">
      <c r="A10" s="30" t="s">
        <v>5086</v>
      </c>
      <c r="B10" s="30">
        <v>20210892</v>
      </c>
      <c r="C10" s="30" t="s">
        <v>5093</v>
      </c>
      <c r="D10" s="2" t="s">
        <v>7</v>
      </c>
      <c r="E10" s="3">
        <v>1</v>
      </c>
    </row>
    <row r="11" spans="1:5">
      <c r="A11" s="30" t="s">
        <v>5086</v>
      </c>
      <c r="B11" s="30">
        <v>1</v>
      </c>
      <c r="C11" s="30" t="s">
        <v>235</v>
      </c>
      <c r="D11" s="2" t="s">
        <v>7</v>
      </c>
      <c r="E11" s="3">
        <v>1</v>
      </c>
    </row>
    <row r="12" spans="1:5">
      <c r="A12" s="30" t="s">
        <v>5086</v>
      </c>
      <c r="B12" s="30">
        <v>2</v>
      </c>
      <c r="C12" s="30" t="s">
        <v>235</v>
      </c>
      <c r="D12" s="2" t="s">
        <v>7</v>
      </c>
      <c r="E12" s="3">
        <v>1</v>
      </c>
    </row>
  </sheetData>
  <autoFilter xmlns:etc="http://www.wps.cn/officeDocument/2017/etCustomData" ref="A1:C12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9"/>
  <sheetViews>
    <sheetView workbookViewId="0">
      <selection activeCell="D1" sqref="D1:E2"/>
    </sheetView>
  </sheetViews>
  <sheetFormatPr defaultColWidth="8.725" defaultRowHeight="13.5" outlineLevelCol="4"/>
  <cols>
    <col min="1" max="1" width="15.4583333333333" style="28" customWidth="1"/>
    <col min="2" max="2" width="17" style="28" customWidth="1"/>
    <col min="3" max="3" width="21.8166666666667" style="28" customWidth="1"/>
    <col min="4" max="16384" width="8.725" style="28"/>
  </cols>
  <sheetData>
    <row r="1" spans="1:5">
      <c r="A1" s="29" t="s">
        <v>0</v>
      </c>
      <c r="B1" s="29" t="s">
        <v>1</v>
      </c>
      <c r="C1" s="29" t="s">
        <v>2</v>
      </c>
      <c r="D1" s="2" t="s">
        <v>3</v>
      </c>
      <c r="E1" s="2" t="s">
        <v>4</v>
      </c>
    </row>
    <row r="2" spans="1:5">
      <c r="A2" s="29" t="s">
        <v>5094</v>
      </c>
      <c r="B2" s="29">
        <v>20170068</v>
      </c>
      <c r="C2" s="29" t="s">
        <v>96</v>
      </c>
      <c r="D2" s="2" t="s">
        <v>7</v>
      </c>
      <c r="E2" s="3">
        <v>1</v>
      </c>
    </row>
    <row r="3" spans="1:5">
      <c r="A3" s="29" t="s">
        <v>5094</v>
      </c>
      <c r="B3" s="29">
        <v>20190266</v>
      </c>
      <c r="C3" s="29" t="s">
        <v>96</v>
      </c>
      <c r="D3" s="2" t="s">
        <v>7</v>
      </c>
      <c r="E3" s="3">
        <v>1</v>
      </c>
    </row>
    <row r="4" spans="1:5">
      <c r="A4" s="29" t="s">
        <v>5094</v>
      </c>
      <c r="B4" s="29">
        <v>20190304</v>
      </c>
      <c r="C4" s="29" t="s">
        <v>96</v>
      </c>
      <c r="D4" s="2" t="s">
        <v>7</v>
      </c>
      <c r="E4" s="3">
        <v>1</v>
      </c>
    </row>
    <row r="5" spans="1:5">
      <c r="A5" s="29" t="s">
        <v>5094</v>
      </c>
      <c r="B5" s="29">
        <v>20210678</v>
      </c>
      <c r="C5" s="29" t="s">
        <v>103</v>
      </c>
      <c r="D5" s="2" t="s">
        <v>7</v>
      </c>
      <c r="E5" s="3">
        <v>1</v>
      </c>
    </row>
    <row r="6" spans="1:5">
      <c r="A6" s="29" t="s">
        <v>5094</v>
      </c>
      <c r="B6" s="29">
        <v>20210827</v>
      </c>
      <c r="C6" s="29" t="s">
        <v>1954</v>
      </c>
      <c r="D6" s="2" t="s">
        <v>7</v>
      </c>
      <c r="E6" s="3">
        <v>1</v>
      </c>
    </row>
    <row r="7" spans="1:5">
      <c r="A7" s="29" t="s">
        <v>5094</v>
      </c>
      <c r="B7" s="29">
        <v>20190303</v>
      </c>
      <c r="C7" s="29" t="s">
        <v>96</v>
      </c>
      <c r="D7" s="2" t="s">
        <v>7</v>
      </c>
      <c r="E7" s="3">
        <v>1</v>
      </c>
    </row>
    <row r="8" spans="1:5">
      <c r="A8" s="29" t="s">
        <v>5094</v>
      </c>
      <c r="B8" s="29">
        <v>20210679</v>
      </c>
      <c r="C8" s="29" t="s">
        <v>103</v>
      </c>
      <c r="D8" s="2" t="s">
        <v>7</v>
      </c>
      <c r="E8" s="3">
        <v>1</v>
      </c>
    </row>
    <row r="9" spans="1:5">
      <c r="A9" s="29" t="s">
        <v>5094</v>
      </c>
      <c r="B9" s="29">
        <v>20130339</v>
      </c>
      <c r="C9" s="29" t="s">
        <v>96</v>
      </c>
      <c r="D9" s="2" t="s">
        <v>7</v>
      </c>
      <c r="E9" s="3">
        <v>1</v>
      </c>
    </row>
    <row r="10" spans="1:5">
      <c r="A10" s="29" t="s">
        <v>5094</v>
      </c>
      <c r="B10" s="29">
        <v>20130340</v>
      </c>
      <c r="C10" s="29" t="s">
        <v>96</v>
      </c>
      <c r="D10" s="2" t="s">
        <v>7</v>
      </c>
      <c r="E10" s="3">
        <v>1</v>
      </c>
    </row>
    <row r="11" spans="1:5">
      <c r="A11" s="29" t="s">
        <v>5094</v>
      </c>
      <c r="B11" s="29">
        <v>20130341</v>
      </c>
      <c r="C11" s="29" t="s">
        <v>96</v>
      </c>
      <c r="D11" s="2" t="s">
        <v>7</v>
      </c>
      <c r="E11" s="3">
        <v>1</v>
      </c>
    </row>
    <row r="12" spans="1:5">
      <c r="A12" s="29" t="s">
        <v>5094</v>
      </c>
      <c r="B12" s="29">
        <v>20130342</v>
      </c>
      <c r="C12" s="29" t="s">
        <v>96</v>
      </c>
      <c r="D12" s="2" t="s">
        <v>7</v>
      </c>
      <c r="E12" s="3">
        <v>1</v>
      </c>
    </row>
    <row r="13" spans="1:5">
      <c r="A13" s="29" t="s">
        <v>5094</v>
      </c>
      <c r="B13" s="29">
        <v>20130343</v>
      </c>
      <c r="C13" s="29" t="s">
        <v>96</v>
      </c>
      <c r="D13" s="2" t="s">
        <v>7</v>
      </c>
      <c r="E13" s="3">
        <v>1</v>
      </c>
    </row>
    <row r="14" spans="1:5">
      <c r="A14" s="29" t="s">
        <v>5094</v>
      </c>
      <c r="B14" s="29">
        <v>20130344</v>
      </c>
      <c r="C14" s="29" t="s">
        <v>96</v>
      </c>
      <c r="D14" s="2" t="s">
        <v>7</v>
      </c>
      <c r="E14" s="3">
        <v>1</v>
      </c>
    </row>
    <row r="15" spans="1:5">
      <c r="A15" s="29" t="s">
        <v>5094</v>
      </c>
      <c r="B15" s="29">
        <v>20130345</v>
      </c>
      <c r="C15" s="29" t="s">
        <v>96</v>
      </c>
      <c r="D15" s="2" t="s">
        <v>7</v>
      </c>
      <c r="E15" s="3">
        <v>1</v>
      </c>
    </row>
    <row r="16" spans="1:5">
      <c r="A16" s="29" t="s">
        <v>5094</v>
      </c>
      <c r="B16" s="29">
        <v>20130346</v>
      </c>
      <c r="C16" s="29" t="s">
        <v>96</v>
      </c>
      <c r="D16" s="2" t="s">
        <v>7</v>
      </c>
      <c r="E16" s="3">
        <v>1</v>
      </c>
    </row>
    <row r="17" spans="1:5">
      <c r="A17" s="29" t="s">
        <v>5094</v>
      </c>
      <c r="B17" s="29">
        <v>20130347</v>
      </c>
      <c r="C17" s="29" t="s">
        <v>96</v>
      </c>
      <c r="D17" s="2" t="s">
        <v>7</v>
      </c>
      <c r="E17" s="3">
        <v>1</v>
      </c>
    </row>
    <row r="18" spans="1:5">
      <c r="A18" s="29" t="s">
        <v>5094</v>
      </c>
      <c r="B18" s="29">
        <v>20130348</v>
      </c>
      <c r="C18" s="29" t="s">
        <v>96</v>
      </c>
      <c r="D18" s="2" t="s">
        <v>7</v>
      </c>
      <c r="E18" s="3">
        <v>1</v>
      </c>
    </row>
    <row r="19" spans="1:5">
      <c r="A19" s="29" t="s">
        <v>5094</v>
      </c>
      <c r="B19" s="29">
        <v>20130349</v>
      </c>
      <c r="C19" s="29" t="s">
        <v>96</v>
      </c>
      <c r="D19" s="2" t="s">
        <v>7</v>
      </c>
      <c r="E19" s="3">
        <v>1</v>
      </c>
    </row>
    <row r="20" spans="1:5">
      <c r="A20" s="29" t="s">
        <v>5094</v>
      </c>
      <c r="B20" s="29">
        <v>20130350</v>
      </c>
      <c r="C20" s="29" t="s">
        <v>96</v>
      </c>
      <c r="D20" s="2" t="s">
        <v>7</v>
      </c>
      <c r="E20" s="3">
        <v>1</v>
      </c>
    </row>
    <row r="21" spans="1:5">
      <c r="A21" s="29" t="s">
        <v>5094</v>
      </c>
      <c r="B21" s="29">
        <v>20130351</v>
      </c>
      <c r="C21" s="29" t="s">
        <v>96</v>
      </c>
      <c r="D21" s="2" t="s">
        <v>7</v>
      </c>
      <c r="E21" s="3">
        <v>1</v>
      </c>
    </row>
    <row r="22" spans="1:5">
      <c r="A22" s="29" t="s">
        <v>5094</v>
      </c>
      <c r="B22" s="29">
        <v>20130352</v>
      </c>
      <c r="C22" s="29" t="s">
        <v>96</v>
      </c>
      <c r="D22" s="2" t="s">
        <v>7</v>
      </c>
      <c r="E22" s="3">
        <v>1</v>
      </c>
    </row>
    <row r="23" spans="1:5">
      <c r="A23" s="29" t="s">
        <v>5094</v>
      </c>
      <c r="B23" s="29">
        <v>20130353</v>
      </c>
      <c r="C23" s="29" t="s">
        <v>96</v>
      </c>
      <c r="D23" s="2" t="s">
        <v>7</v>
      </c>
      <c r="E23" s="3">
        <v>1</v>
      </c>
    </row>
    <row r="24" spans="1:5">
      <c r="A24" s="29" t="s">
        <v>5094</v>
      </c>
      <c r="B24" s="29">
        <v>20130354</v>
      </c>
      <c r="C24" s="29" t="s">
        <v>96</v>
      </c>
      <c r="D24" s="2" t="s">
        <v>7</v>
      </c>
      <c r="E24" s="3">
        <v>1</v>
      </c>
    </row>
    <row r="25" spans="1:5">
      <c r="A25" s="29" t="s">
        <v>5094</v>
      </c>
      <c r="B25" s="29">
        <v>20130355</v>
      </c>
      <c r="C25" s="29" t="s">
        <v>96</v>
      </c>
      <c r="D25" s="2" t="s">
        <v>7</v>
      </c>
      <c r="E25" s="3">
        <v>1</v>
      </c>
    </row>
    <row r="26" spans="1:5">
      <c r="A26" s="29" t="s">
        <v>5094</v>
      </c>
      <c r="B26" s="29">
        <v>20130356</v>
      </c>
      <c r="C26" s="29" t="s">
        <v>96</v>
      </c>
      <c r="D26" s="2" t="s">
        <v>7</v>
      </c>
      <c r="E26" s="3">
        <v>1</v>
      </c>
    </row>
    <row r="27" spans="1:5">
      <c r="A27" s="29" t="s">
        <v>5094</v>
      </c>
      <c r="B27" s="29">
        <v>20130357</v>
      </c>
      <c r="C27" s="29" t="s">
        <v>96</v>
      </c>
      <c r="D27" s="2" t="s">
        <v>7</v>
      </c>
      <c r="E27" s="3">
        <v>1</v>
      </c>
    </row>
    <row r="28" spans="1:5">
      <c r="A28" s="29" t="s">
        <v>5094</v>
      </c>
      <c r="B28" s="29">
        <v>20130358</v>
      </c>
      <c r="C28" s="29" t="s">
        <v>96</v>
      </c>
      <c r="D28" s="2" t="s">
        <v>7</v>
      </c>
      <c r="E28" s="3">
        <v>1</v>
      </c>
    </row>
    <row r="29" spans="1:5">
      <c r="A29" s="29" t="s">
        <v>5094</v>
      </c>
      <c r="B29" s="29">
        <v>20130359</v>
      </c>
      <c r="C29" s="29" t="s">
        <v>96</v>
      </c>
      <c r="D29" s="2" t="s">
        <v>7</v>
      </c>
      <c r="E29" s="3">
        <v>1</v>
      </c>
    </row>
    <row r="30" spans="1:5">
      <c r="A30" s="29" t="s">
        <v>5094</v>
      </c>
      <c r="B30" s="29">
        <v>20130360</v>
      </c>
      <c r="C30" s="29" t="s">
        <v>96</v>
      </c>
      <c r="D30" s="2" t="s">
        <v>7</v>
      </c>
      <c r="E30" s="3">
        <v>1</v>
      </c>
    </row>
    <row r="31" spans="1:5">
      <c r="A31" s="29" t="s">
        <v>5094</v>
      </c>
      <c r="B31" s="29">
        <v>20130361</v>
      </c>
      <c r="C31" s="29" t="s">
        <v>96</v>
      </c>
      <c r="D31" s="2" t="s">
        <v>7</v>
      </c>
      <c r="E31" s="3">
        <v>1</v>
      </c>
    </row>
    <row r="32" spans="1:5">
      <c r="A32" s="29" t="s">
        <v>5094</v>
      </c>
      <c r="B32" s="29">
        <v>20130362</v>
      </c>
      <c r="C32" s="29" t="s">
        <v>96</v>
      </c>
      <c r="D32" s="2" t="s">
        <v>7</v>
      </c>
      <c r="E32" s="3">
        <v>1</v>
      </c>
    </row>
    <row r="33" spans="1:5">
      <c r="A33" s="29" t="s">
        <v>5094</v>
      </c>
      <c r="B33" s="29">
        <v>20130363</v>
      </c>
      <c r="C33" s="29" t="s">
        <v>96</v>
      </c>
      <c r="D33" s="2" t="s">
        <v>7</v>
      </c>
      <c r="E33" s="3">
        <v>1</v>
      </c>
    </row>
    <row r="34" spans="1:5">
      <c r="A34" s="29" t="s">
        <v>5094</v>
      </c>
      <c r="B34" s="29">
        <v>20130364</v>
      </c>
      <c r="C34" s="29" t="s">
        <v>96</v>
      </c>
      <c r="D34" s="2" t="s">
        <v>7</v>
      </c>
      <c r="E34" s="3">
        <v>1</v>
      </c>
    </row>
    <row r="35" spans="1:5">
      <c r="A35" s="29" t="s">
        <v>5094</v>
      </c>
      <c r="B35" s="29">
        <v>20130365</v>
      </c>
      <c r="C35" s="29" t="s">
        <v>96</v>
      </c>
      <c r="D35" s="2" t="s">
        <v>7</v>
      </c>
      <c r="E35" s="3">
        <v>1</v>
      </c>
    </row>
    <row r="36" spans="1:5">
      <c r="A36" s="29" t="s">
        <v>5094</v>
      </c>
      <c r="B36" s="29">
        <v>20130366</v>
      </c>
      <c r="C36" s="29" t="s">
        <v>96</v>
      </c>
      <c r="D36" s="2" t="s">
        <v>7</v>
      </c>
      <c r="E36" s="3">
        <v>1</v>
      </c>
    </row>
    <row r="37" spans="1:5">
      <c r="A37" s="29" t="s">
        <v>5094</v>
      </c>
      <c r="B37" s="29">
        <v>20130367</v>
      </c>
      <c r="C37" s="29" t="s">
        <v>96</v>
      </c>
      <c r="D37" s="2" t="s">
        <v>7</v>
      </c>
      <c r="E37" s="3">
        <v>1</v>
      </c>
    </row>
    <row r="38" spans="1:5">
      <c r="A38" s="29" t="s">
        <v>5094</v>
      </c>
      <c r="B38" s="29">
        <v>20130368</v>
      </c>
      <c r="C38" s="29" t="s">
        <v>96</v>
      </c>
      <c r="D38" s="2" t="s">
        <v>7</v>
      </c>
      <c r="E38" s="3">
        <v>1</v>
      </c>
    </row>
    <row r="39" spans="1:5">
      <c r="A39" s="29" t="s">
        <v>5094</v>
      </c>
      <c r="B39" s="29">
        <v>20130369</v>
      </c>
      <c r="C39" s="29" t="s">
        <v>96</v>
      </c>
      <c r="D39" s="2" t="s">
        <v>7</v>
      </c>
      <c r="E39" s="3">
        <v>1</v>
      </c>
    </row>
    <row r="40" spans="1:5">
      <c r="A40" s="29" t="s">
        <v>5094</v>
      </c>
      <c r="B40" s="29">
        <v>20130370</v>
      </c>
      <c r="C40" s="29" t="s">
        <v>96</v>
      </c>
      <c r="D40" s="2" t="s">
        <v>7</v>
      </c>
      <c r="E40" s="3">
        <v>1</v>
      </c>
    </row>
    <row r="41" spans="1:5">
      <c r="A41" s="29" t="s">
        <v>5094</v>
      </c>
      <c r="B41" s="29">
        <v>20130371</v>
      </c>
      <c r="C41" s="29" t="s">
        <v>96</v>
      </c>
      <c r="D41" s="2" t="s">
        <v>7</v>
      </c>
      <c r="E41" s="3">
        <v>1</v>
      </c>
    </row>
    <row r="42" spans="1:5">
      <c r="A42" s="29" t="s">
        <v>5094</v>
      </c>
      <c r="B42" s="29">
        <v>20130372</v>
      </c>
      <c r="C42" s="29" t="s">
        <v>96</v>
      </c>
      <c r="D42" s="2" t="s">
        <v>7</v>
      </c>
      <c r="E42" s="3">
        <v>1</v>
      </c>
    </row>
    <row r="43" spans="1:5">
      <c r="A43" s="29" t="s">
        <v>5094</v>
      </c>
      <c r="B43" s="29">
        <v>20130373</v>
      </c>
      <c r="C43" s="29" t="s">
        <v>96</v>
      </c>
      <c r="D43" s="2" t="s">
        <v>7</v>
      </c>
      <c r="E43" s="3">
        <v>1</v>
      </c>
    </row>
    <row r="44" spans="1:5">
      <c r="A44" s="29" t="s">
        <v>5094</v>
      </c>
      <c r="B44" s="29">
        <v>20130374</v>
      </c>
      <c r="C44" s="29" t="s">
        <v>96</v>
      </c>
      <c r="D44" s="2" t="s">
        <v>7</v>
      </c>
      <c r="E44" s="3">
        <v>1</v>
      </c>
    </row>
    <row r="45" spans="1:5">
      <c r="A45" s="29" t="s">
        <v>5094</v>
      </c>
      <c r="B45" s="29">
        <v>20130375</v>
      </c>
      <c r="C45" s="29" t="s">
        <v>96</v>
      </c>
      <c r="D45" s="2" t="s">
        <v>7</v>
      </c>
      <c r="E45" s="3">
        <v>1</v>
      </c>
    </row>
    <row r="46" spans="1:5">
      <c r="A46" s="29" t="s">
        <v>5094</v>
      </c>
      <c r="B46" s="29">
        <v>20130376</v>
      </c>
      <c r="C46" s="29" t="s">
        <v>96</v>
      </c>
      <c r="D46" s="2" t="s">
        <v>7</v>
      </c>
      <c r="E46" s="3">
        <v>1</v>
      </c>
    </row>
    <row r="47" spans="1:5">
      <c r="A47" s="29" t="s">
        <v>5094</v>
      </c>
      <c r="B47" s="29">
        <v>20130377</v>
      </c>
      <c r="C47" s="29" t="s">
        <v>96</v>
      </c>
      <c r="D47" s="2" t="s">
        <v>7</v>
      </c>
      <c r="E47" s="3">
        <v>1</v>
      </c>
    </row>
    <row r="48" spans="1:5">
      <c r="A48" s="29" t="s">
        <v>5094</v>
      </c>
      <c r="B48" s="29">
        <v>20130378</v>
      </c>
      <c r="C48" s="29" t="s">
        <v>96</v>
      </c>
      <c r="D48" s="2" t="s">
        <v>7</v>
      </c>
      <c r="E48" s="3">
        <v>1</v>
      </c>
    </row>
    <row r="49" spans="1:5">
      <c r="A49" s="29" t="s">
        <v>5094</v>
      </c>
      <c r="B49" s="29">
        <v>20130379</v>
      </c>
      <c r="C49" s="29" t="s">
        <v>96</v>
      </c>
      <c r="D49" s="2" t="s">
        <v>7</v>
      </c>
      <c r="E49" s="3">
        <v>1</v>
      </c>
    </row>
    <row r="50" spans="1:5">
      <c r="A50" s="29" t="s">
        <v>5094</v>
      </c>
      <c r="B50" s="29">
        <v>20130380</v>
      </c>
      <c r="C50" s="29" t="s">
        <v>96</v>
      </c>
      <c r="D50" s="2" t="s">
        <v>7</v>
      </c>
      <c r="E50" s="3">
        <v>1</v>
      </c>
    </row>
    <row r="51" spans="1:5">
      <c r="A51" s="29" t="s">
        <v>5094</v>
      </c>
      <c r="B51" s="29">
        <v>20130381</v>
      </c>
      <c r="C51" s="29" t="s">
        <v>96</v>
      </c>
      <c r="D51" s="2" t="s">
        <v>7</v>
      </c>
      <c r="E51" s="3">
        <v>1</v>
      </c>
    </row>
    <row r="52" spans="1:5">
      <c r="A52" s="29" t="s">
        <v>5094</v>
      </c>
      <c r="B52" s="29">
        <v>20130382</v>
      </c>
      <c r="C52" s="29" t="s">
        <v>96</v>
      </c>
      <c r="D52" s="2" t="s">
        <v>7</v>
      </c>
      <c r="E52" s="3">
        <v>1</v>
      </c>
    </row>
    <row r="53" spans="1:5">
      <c r="A53" s="29" t="s">
        <v>5094</v>
      </c>
      <c r="B53" s="29">
        <v>20130383</v>
      </c>
      <c r="C53" s="29" t="s">
        <v>96</v>
      </c>
      <c r="D53" s="2" t="s">
        <v>7</v>
      </c>
      <c r="E53" s="3">
        <v>1</v>
      </c>
    </row>
    <row r="54" spans="1:5">
      <c r="A54" s="29" t="s">
        <v>5094</v>
      </c>
      <c r="B54" s="29">
        <v>20130384</v>
      </c>
      <c r="C54" s="29" t="s">
        <v>96</v>
      </c>
      <c r="D54" s="2" t="s">
        <v>7</v>
      </c>
      <c r="E54" s="3">
        <v>1</v>
      </c>
    </row>
    <row r="55" spans="1:5">
      <c r="A55" s="29" t="s">
        <v>5094</v>
      </c>
      <c r="B55" s="29">
        <v>20130385</v>
      </c>
      <c r="C55" s="29" t="s">
        <v>96</v>
      </c>
      <c r="D55" s="2" t="s">
        <v>7</v>
      </c>
      <c r="E55" s="3">
        <v>1</v>
      </c>
    </row>
    <row r="56" spans="1:5">
      <c r="A56" s="29" t="s">
        <v>5094</v>
      </c>
      <c r="B56" s="29">
        <v>20130386</v>
      </c>
      <c r="C56" s="29" t="s">
        <v>96</v>
      </c>
      <c r="D56" s="2" t="s">
        <v>7</v>
      </c>
      <c r="E56" s="3">
        <v>1</v>
      </c>
    </row>
    <row r="57" spans="1:5">
      <c r="A57" s="29" t="s">
        <v>5094</v>
      </c>
      <c r="B57" s="29">
        <v>20130387</v>
      </c>
      <c r="C57" s="29" t="s">
        <v>96</v>
      </c>
      <c r="D57" s="2" t="s">
        <v>7</v>
      </c>
      <c r="E57" s="3">
        <v>1</v>
      </c>
    </row>
    <row r="58" spans="1:5">
      <c r="A58" s="29" t="s">
        <v>5094</v>
      </c>
      <c r="B58" s="29">
        <v>20130388</v>
      </c>
      <c r="C58" s="29" t="s">
        <v>96</v>
      </c>
      <c r="D58" s="2" t="s">
        <v>7</v>
      </c>
      <c r="E58" s="3">
        <v>1</v>
      </c>
    </row>
    <row r="59" spans="1:5">
      <c r="A59" s="29" t="s">
        <v>5094</v>
      </c>
      <c r="B59" s="29">
        <v>20130389</v>
      </c>
      <c r="C59" s="29" t="s">
        <v>96</v>
      </c>
      <c r="D59" s="2" t="s">
        <v>7</v>
      </c>
      <c r="E59" s="3">
        <v>1</v>
      </c>
    </row>
    <row r="60" spans="1:5">
      <c r="A60" s="29" t="s">
        <v>5094</v>
      </c>
      <c r="B60" s="29">
        <v>20130390</v>
      </c>
      <c r="C60" s="29" t="s">
        <v>96</v>
      </c>
      <c r="D60" s="2" t="s">
        <v>7</v>
      </c>
      <c r="E60" s="3">
        <v>1</v>
      </c>
    </row>
    <row r="61" spans="1:5">
      <c r="A61" s="29" t="s">
        <v>5094</v>
      </c>
      <c r="B61" s="29">
        <v>20130391</v>
      </c>
      <c r="C61" s="29" t="s">
        <v>96</v>
      </c>
      <c r="D61" s="2" t="s">
        <v>7</v>
      </c>
      <c r="E61" s="3">
        <v>1</v>
      </c>
    </row>
    <row r="62" spans="1:5">
      <c r="A62" s="29" t="s">
        <v>5094</v>
      </c>
      <c r="B62" s="29">
        <v>20130392</v>
      </c>
      <c r="C62" s="29" t="s">
        <v>96</v>
      </c>
      <c r="D62" s="2" t="s">
        <v>7</v>
      </c>
      <c r="E62" s="3">
        <v>1</v>
      </c>
    </row>
    <row r="63" spans="1:5">
      <c r="A63" s="29" t="s">
        <v>5094</v>
      </c>
      <c r="B63" s="29">
        <v>20130393</v>
      </c>
      <c r="C63" s="29" t="s">
        <v>96</v>
      </c>
      <c r="D63" s="2" t="s">
        <v>7</v>
      </c>
      <c r="E63" s="3">
        <v>1</v>
      </c>
    </row>
    <row r="64" spans="1:5">
      <c r="A64" s="29" t="s">
        <v>5094</v>
      </c>
      <c r="B64" s="29">
        <v>20200287</v>
      </c>
      <c r="C64" s="29" t="s">
        <v>96</v>
      </c>
      <c r="D64" s="2" t="s">
        <v>7</v>
      </c>
      <c r="E64" s="3">
        <v>1</v>
      </c>
    </row>
    <row r="65" spans="1:5">
      <c r="A65" s="29" t="s">
        <v>5094</v>
      </c>
      <c r="B65" s="29">
        <v>20200288</v>
      </c>
      <c r="C65" s="29" t="s">
        <v>96</v>
      </c>
      <c r="D65" s="2" t="s">
        <v>7</v>
      </c>
      <c r="E65" s="3">
        <v>1</v>
      </c>
    </row>
    <row r="66" spans="1:5">
      <c r="A66" s="29" t="s">
        <v>5094</v>
      </c>
      <c r="B66" s="29">
        <v>20200289</v>
      </c>
      <c r="C66" s="29" t="s">
        <v>96</v>
      </c>
      <c r="D66" s="2" t="s">
        <v>7</v>
      </c>
      <c r="E66" s="3">
        <v>1</v>
      </c>
    </row>
    <row r="67" spans="1:5">
      <c r="A67" s="29" t="s">
        <v>5094</v>
      </c>
      <c r="B67" s="29">
        <v>20200290</v>
      </c>
      <c r="C67" s="29" t="s">
        <v>96</v>
      </c>
      <c r="D67" s="2" t="s">
        <v>7</v>
      </c>
      <c r="E67" s="3">
        <v>1</v>
      </c>
    </row>
    <row r="68" spans="1:5">
      <c r="A68" s="29" t="s">
        <v>5094</v>
      </c>
      <c r="B68" s="29">
        <v>20200291</v>
      </c>
      <c r="C68" s="29" t="s">
        <v>96</v>
      </c>
      <c r="D68" s="2" t="s">
        <v>7</v>
      </c>
      <c r="E68" s="3">
        <v>1</v>
      </c>
    </row>
    <row r="69" spans="1:5">
      <c r="A69" s="29" t="s">
        <v>5094</v>
      </c>
      <c r="B69" s="29">
        <v>20200292</v>
      </c>
      <c r="C69" s="29" t="s">
        <v>96</v>
      </c>
      <c r="D69" s="2" t="s">
        <v>7</v>
      </c>
      <c r="E69" s="3">
        <v>1</v>
      </c>
    </row>
    <row r="70" spans="1:5">
      <c r="A70" s="29" t="s">
        <v>5094</v>
      </c>
      <c r="B70" s="29">
        <v>20200293</v>
      </c>
      <c r="C70" s="29" t="s">
        <v>96</v>
      </c>
      <c r="D70" s="2" t="s">
        <v>7</v>
      </c>
      <c r="E70" s="3">
        <v>1</v>
      </c>
    </row>
    <row r="71" spans="1:5">
      <c r="A71" s="29" t="s">
        <v>5094</v>
      </c>
      <c r="B71" s="29">
        <v>20200294</v>
      </c>
      <c r="C71" s="29" t="s">
        <v>96</v>
      </c>
      <c r="D71" s="2" t="s">
        <v>7</v>
      </c>
      <c r="E71" s="3">
        <v>1</v>
      </c>
    </row>
    <row r="72" spans="1:5">
      <c r="A72" s="29" t="s">
        <v>5094</v>
      </c>
      <c r="B72" s="29">
        <v>20200295</v>
      </c>
      <c r="C72" s="29" t="s">
        <v>96</v>
      </c>
      <c r="D72" s="2" t="s">
        <v>7</v>
      </c>
      <c r="E72" s="3">
        <v>1</v>
      </c>
    </row>
    <row r="73" spans="1:5">
      <c r="A73" s="29" t="s">
        <v>5094</v>
      </c>
      <c r="B73" s="29">
        <v>20200296</v>
      </c>
      <c r="C73" s="29" t="s">
        <v>96</v>
      </c>
      <c r="D73" s="2" t="s">
        <v>7</v>
      </c>
      <c r="E73" s="3">
        <v>1</v>
      </c>
    </row>
    <row r="74" spans="1:5">
      <c r="A74" s="29" t="s">
        <v>5094</v>
      </c>
      <c r="B74" s="29">
        <v>20200297</v>
      </c>
      <c r="C74" s="29" t="s">
        <v>96</v>
      </c>
      <c r="D74" s="2" t="s">
        <v>7</v>
      </c>
      <c r="E74" s="3">
        <v>1</v>
      </c>
    </row>
    <row r="75" spans="1:5">
      <c r="A75" s="29" t="s">
        <v>5094</v>
      </c>
      <c r="B75" s="29">
        <v>20200298</v>
      </c>
      <c r="C75" s="29" t="s">
        <v>96</v>
      </c>
      <c r="D75" s="2" t="s">
        <v>7</v>
      </c>
      <c r="E75" s="3">
        <v>1</v>
      </c>
    </row>
    <row r="76" spans="1:5">
      <c r="A76" s="29" t="s">
        <v>5094</v>
      </c>
      <c r="B76" s="29">
        <v>20200299</v>
      </c>
      <c r="C76" s="29" t="s">
        <v>96</v>
      </c>
      <c r="D76" s="2" t="s">
        <v>7</v>
      </c>
      <c r="E76" s="3">
        <v>1</v>
      </c>
    </row>
    <row r="77" spans="1:5">
      <c r="A77" s="29" t="s">
        <v>5094</v>
      </c>
      <c r="B77" s="29">
        <v>20200300</v>
      </c>
      <c r="C77" s="29" t="s">
        <v>96</v>
      </c>
      <c r="D77" s="2" t="s">
        <v>7</v>
      </c>
      <c r="E77" s="3">
        <v>1</v>
      </c>
    </row>
    <row r="78" spans="1:5">
      <c r="A78" s="29" t="s">
        <v>5094</v>
      </c>
      <c r="B78" s="29">
        <v>20200301</v>
      </c>
      <c r="C78" s="29" t="s">
        <v>96</v>
      </c>
      <c r="D78" s="2" t="s">
        <v>7</v>
      </c>
      <c r="E78" s="3">
        <v>1</v>
      </c>
    </row>
    <row r="79" spans="1:5">
      <c r="A79" s="29" t="s">
        <v>5094</v>
      </c>
      <c r="B79" s="29">
        <v>20200302</v>
      </c>
      <c r="C79" s="29" t="s">
        <v>96</v>
      </c>
      <c r="D79" s="2" t="s">
        <v>7</v>
      </c>
      <c r="E79" s="3">
        <v>1</v>
      </c>
    </row>
    <row r="80" spans="1:5">
      <c r="A80" s="29" t="s">
        <v>5094</v>
      </c>
      <c r="B80" s="29">
        <v>20200303</v>
      </c>
      <c r="C80" s="29" t="s">
        <v>96</v>
      </c>
      <c r="D80" s="2" t="s">
        <v>7</v>
      </c>
      <c r="E80" s="3">
        <v>1</v>
      </c>
    </row>
    <row r="81" spans="1:5">
      <c r="A81" s="29" t="s">
        <v>5094</v>
      </c>
      <c r="B81" s="29">
        <v>20200304</v>
      </c>
      <c r="C81" s="29" t="s">
        <v>96</v>
      </c>
      <c r="D81" s="2" t="s">
        <v>7</v>
      </c>
      <c r="E81" s="3">
        <v>1</v>
      </c>
    </row>
    <row r="82" spans="1:5">
      <c r="A82" s="29" t="s">
        <v>5094</v>
      </c>
      <c r="B82" s="29">
        <v>20200305</v>
      </c>
      <c r="C82" s="29" t="s">
        <v>96</v>
      </c>
      <c r="D82" s="2" t="s">
        <v>7</v>
      </c>
      <c r="E82" s="3">
        <v>1</v>
      </c>
    </row>
    <row r="83" spans="1:5">
      <c r="A83" s="29" t="s">
        <v>5094</v>
      </c>
      <c r="B83" s="29">
        <v>20200306</v>
      </c>
      <c r="C83" s="29" t="s">
        <v>96</v>
      </c>
      <c r="D83" s="2" t="s">
        <v>7</v>
      </c>
      <c r="E83" s="3">
        <v>1</v>
      </c>
    </row>
    <row r="84" spans="1:5">
      <c r="A84" s="29" t="s">
        <v>5094</v>
      </c>
      <c r="B84" s="29">
        <v>20200307</v>
      </c>
      <c r="C84" s="29" t="s">
        <v>96</v>
      </c>
      <c r="D84" s="2" t="s">
        <v>7</v>
      </c>
      <c r="E84" s="3">
        <v>1</v>
      </c>
    </row>
    <row r="85" spans="1:5">
      <c r="A85" s="29" t="s">
        <v>5094</v>
      </c>
      <c r="B85" s="29">
        <v>20200308</v>
      </c>
      <c r="C85" s="29" t="s">
        <v>96</v>
      </c>
      <c r="D85" s="2" t="s">
        <v>7</v>
      </c>
      <c r="E85" s="3">
        <v>1</v>
      </c>
    </row>
    <row r="86" spans="1:5">
      <c r="A86" s="29" t="s">
        <v>5094</v>
      </c>
      <c r="B86" s="29">
        <v>20200309</v>
      </c>
      <c r="C86" s="29" t="s">
        <v>96</v>
      </c>
      <c r="D86" s="2" t="s">
        <v>7</v>
      </c>
      <c r="E86" s="3">
        <v>1</v>
      </c>
    </row>
    <row r="87" spans="1:5">
      <c r="A87" s="29" t="s">
        <v>5094</v>
      </c>
      <c r="B87" s="29">
        <v>20200310</v>
      </c>
      <c r="C87" s="29" t="s">
        <v>96</v>
      </c>
      <c r="D87" s="2" t="s">
        <v>7</v>
      </c>
      <c r="E87" s="3">
        <v>1</v>
      </c>
    </row>
    <row r="88" spans="1:5">
      <c r="A88" s="29" t="s">
        <v>5094</v>
      </c>
      <c r="B88" s="29">
        <v>20200311</v>
      </c>
      <c r="C88" s="29" t="s">
        <v>96</v>
      </c>
      <c r="D88" s="2" t="s">
        <v>7</v>
      </c>
      <c r="E88" s="3">
        <v>1</v>
      </c>
    </row>
    <row r="89" spans="1:5">
      <c r="A89" s="29" t="s">
        <v>5094</v>
      </c>
      <c r="B89" s="29">
        <v>20200312</v>
      </c>
      <c r="C89" s="29" t="s">
        <v>96</v>
      </c>
      <c r="D89" s="2" t="s">
        <v>7</v>
      </c>
      <c r="E89" s="3">
        <v>1</v>
      </c>
    </row>
    <row r="90" spans="1:5">
      <c r="A90" s="29" t="s">
        <v>5094</v>
      </c>
      <c r="B90" s="29">
        <v>20200313</v>
      </c>
      <c r="C90" s="29" t="s">
        <v>96</v>
      </c>
      <c r="D90" s="2" t="s">
        <v>7</v>
      </c>
      <c r="E90" s="3">
        <v>1</v>
      </c>
    </row>
    <row r="91" spans="1:5">
      <c r="A91" s="29" t="s">
        <v>5094</v>
      </c>
      <c r="B91" s="29">
        <v>20200314</v>
      </c>
      <c r="C91" s="29" t="s">
        <v>96</v>
      </c>
      <c r="D91" s="2" t="s">
        <v>7</v>
      </c>
      <c r="E91" s="3">
        <v>1</v>
      </c>
    </row>
    <row r="92" spans="1:5">
      <c r="A92" s="29" t="s">
        <v>5094</v>
      </c>
      <c r="B92" s="29">
        <v>20200315</v>
      </c>
      <c r="C92" s="29" t="s">
        <v>96</v>
      </c>
      <c r="D92" s="2" t="s">
        <v>7</v>
      </c>
      <c r="E92" s="3">
        <v>1</v>
      </c>
    </row>
    <row r="93" spans="1:5">
      <c r="A93" s="29" t="s">
        <v>5094</v>
      </c>
      <c r="B93" s="29">
        <v>20200316</v>
      </c>
      <c r="C93" s="29" t="s">
        <v>96</v>
      </c>
      <c r="D93" s="2" t="s">
        <v>7</v>
      </c>
      <c r="E93" s="3">
        <v>1</v>
      </c>
    </row>
    <row r="94" spans="1:5">
      <c r="A94" s="29" t="s">
        <v>5094</v>
      </c>
      <c r="B94" s="29">
        <v>20200317</v>
      </c>
      <c r="C94" s="29" t="s">
        <v>96</v>
      </c>
      <c r="D94" s="2" t="s">
        <v>7</v>
      </c>
      <c r="E94" s="3">
        <v>1</v>
      </c>
    </row>
    <row r="95" spans="1:5">
      <c r="A95" s="29" t="s">
        <v>5094</v>
      </c>
      <c r="B95" s="29">
        <v>20200318</v>
      </c>
      <c r="C95" s="29" t="s">
        <v>96</v>
      </c>
      <c r="D95" s="2" t="s">
        <v>7</v>
      </c>
      <c r="E95" s="3">
        <v>1</v>
      </c>
    </row>
    <row r="96" spans="1:5">
      <c r="A96" s="29" t="s">
        <v>5094</v>
      </c>
      <c r="B96" s="29">
        <v>20200319</v>
      </c>
      <c r="C96" s="29" t="s">
        <v>96</v>
      </c>
      <c r="D96" s="2" t="s">
        <v>7</v>
      </c>
      <c r="E96" s="3">
        <v>1</v>
      </c>
    </row>
    <row r="97" spans="1:5">
      <c r="A97" s="29" t="s">
        <v>5094</v>
      </c>
      <c r="B97" s="29">
        <v>20200320</v>
      </c>
      <c r="C97" s="29" t="s">
        <v>96</v>
      </c>
      <c r="D97" s="2" t="s">
        <v>7</v>
      </c>
      <c r="E97" s="3">
        <v>1</v>
      </c>
    </row>
    <row r="98" spans="1:5">
      <c r="A98" s="29" t="s">
        <v>5094</v>
      </c>
      <c r="B98" s="29">
        <v>20200321</v>
      </c>
      <c r="C98" s="29" t="s">
        <v>96</v>
      </c>
      <c r="D98" s="2" t="s">
        <v>7</v>
      </c>
      <c r="E98" s="3">
        <v>1</v>
      </c>
    </row>
    <row r="99" spans="1:5">
      <c r="A99" s="29" t="s">
        <v>5094</v>
      </c>
      <c r="B99" s="29">
        <v>20200322</v>
      </c>
      <c r="C99" s="29" t="s">
        <v>96</v>
      </c>
      <c r="D99" s="2" t="s">
        <v>7</v>
      </c>
      <c r="E99" s="3">
        <v>1</v>
      </c>
    </row>
    <row r="100" spans="1:5">
      <c r="A100" s="29" t="s">
        <v>5094</v>
      </c>
      <c r="B100" s="29">
        <v>20200323</v>
      </c>
      <c r="C100" s="29" t="s">
        <v>96</v>
      </c>
      <c r="D100" s="2" t="s">
        <v>7</v>
      </c>
      <c r="E100" s="3">
        <v>1</v>
      </c>
    </row>
    <row r="101" spans="1:5">
      <c r="A101" s="29" t="s">
        <v>5094</v>
      </c>
      <c r="B101" s="29">
        <v>20200324</v>
      </c>
      <c r="C101" s="29" t="s">
        <v>96</v>
      </c>
      <c r="D101" s="2" t="s">
        <v>7</v>
      </c>
      <c r="E101" s="3">
        <v>1</v>
      </c>
    </row>
    <row r="102" spans="1:5">
      <c r="A102" s="29" t="s">
        <v>5094</v>
      </c>
      <c r="B102" s="29">
        <v>20200325</v>
      </c>
      <c r="C102" s="29" t="s">
        <v>96</v>
      </c>
      <c r="D102" s="2" t="s">
        <v>7</v>
      </c>
      <c r="E102" s="3">
        <v>1</v>
      </c>
    </row>
    <row r="103" spans="1:5">
      <c r="A103" s="29" t="s">
        <v>5094</v>
      </c>
      <c r="B103" s="29">
        <v>20200326</v>
      </c>
      <c r="C103" s="29" t="s">
        <v>96</v>
      </c>
      <c r="D103" s="2" t="s">
        <v>7</v>
      </c>
      <c r="E103" s="3">
        <v>1</v>
      </c>
    </row>
    <row r="104" spans="1:5">
      <c r="A104" s="29" t="s">
        <v>5094</v>
      </c>
      <c r="B104" s="29">
        <v>20200327</v>
      </c>
      <c r="C104" s="29" t="s">
        <v>96</v>
      </c>
      <c r="D104" s="2" t="s">
        <v>7</v>
      </c>
      <c r="E104" s="3">
        <v>1</v>
      </c>
    </row>
    <row r="105" spans="1:5">
      <c r="A105" s="29" t="s">
        <v>5094</v>
      </c>
      <c r="B105" s="29">
        <v>20200328</v>
      </c>
      <c r="C105" s="29" t="s">
        <v>96</v>
      </c>
      <c r="D105" s="2" t="s">
        <v>7</v>
      </c>
      <c r="E105" s="3">
        <v>1</v>
      </c>
    </row>
    <row r="106" spans="1:5">
      <c r="A106" s="29" t="s">
        <v>5094</v>
      </c>
      <c r="B106" s="29">
        <v>20200329</v>
      </c>
      <c r="C106" s="29" t="s">
        <v>96</v>
      </c>
      <c r="D106" s="2" t="s">
        <v>7</v>
      </c>
      <c r="E106" s="3">
        <v>1</v>
      </c>
    </row>
    <row r="107" spans="1:5">
      <c r="A107" s="29" t="s">
        <v>5094</v>
      </c>
      <c r="B107" s="29">
        <v>20200330</v>
      </c>
      <c r="C107" s="29" t="s">
        <v>96</v>
      </c>
      <c r="D107" s="2" t="s">
        <v>7</v>
      </c>
      <c r="E107" s="3">
        <v>1</v>
      </c>
    </row>
    <row r="108" spans="1:5">
      <c r="A108" s="29" t="s">
        <v>5094</v>
      </c>
      <c r="B108" s="29">
        <v>20200331</v>
      </c>
      <c r="C108" s="29" t="s">
        <v>96</v>
      </c>
      <c r="D108" s="2" t="s">
        <v>7</v>
      </c>
      <c r="E108" s="3">
        <v>1</v>
      </c>
    </row>
    <row r="109" spans="1:5">
      <c r="A109" s="29" t="s">
        <v>5094</v>
      </c>
      <c r="B109" s="29">
        <v>20200332</v>
      </c>
      <c r="C109" s="29" t="s">
        <v>96</v>
      </c>
      <c r="D109" s="2" t="s">
        <v>7</v>
      </c>
      <c r="E109" s="3">
        <v>1</v>
      </c>
    </row>
    <row r="110" spans="1:5">
      <c r="A110" s="29" t="s">
        <v>5094</v>
      </c>
      <c r="B110" s="29">
        <v>20200333</v>
      </c>
      <c r="C110" s="29" t="s">
        <v>96</v>
      </c>
      <c r="D110" s="2" t="s">
        <v>7</v>
      </c>
      <c r="E110" s="3">
        <v>1</v>
      </c>
    </row>
    <row r="111" spans="1:5">
      <c r="A111" s="29" t="s">
        <v>5094</v>
      </c>
      <c r="B111" s="29">
        <v>20200334</v>
      </c>
      <c r="C111" s="29" t="s">
        <v>96</v>
      </c>
      <c r="D111" s="2" t="s">
        <v>7</v>
      </c>
      <c r="E111" s="3">
        <v>1</v>
      </c>
    </row>
    <row r="112" spans="1:5">
      <c r="A112" s="29" t="s">
        <v>5094</v>
      </c>
      <c r="B112" s="29">
        <v>20200335</v>
      </c>
      <c r="C112" s="29" t="s">
        <v>96</v>
      </c>
      <c r="D112" s="2" t="s">
        <v>7</v>
      </c>
      <c r="E112" s="3">
        <v>1</v>
      </c>
    </row>
    <row r="113" spans="1:5">
      <c r="A113" s="29" t="s">
        <v>5094</v>
      </c>
      <c r="B113" s="29">
        <v>20200336</v>
      </c>
      <c r="C113" s="29" t="s">
        <v>96</v>
      </c>
      <c r="D113" s="2" t="s">
        <v>7</v>
      </c>
      <c r="E113" s="3">
        <v>1</v>
      </c>
    </row>
    <row r="114" spans="1:5">
      <c r="A114" s="29" t="s">
        <v>5094</v>
      </c>
      <c r="B114" s="29">
        <v>20200337</v>
      </c>
      <c r="C114" s="29" t="s">
        <v>96</v>
      </c>
      <c r="D114" s="2" t="s">
        <v>7</v>
      </c>
      <c r="E114" s="3">
        <v>1</v>
      </c>
    </row>
    <row r="115" spans="1:5">
      <c r="A115" s="29" t="s">
        <v>5094</v>
      </c>
      <c r="B115" s="29">
        <v>20200338</v>
      </c>
      <c r="C115" s="29" t="s">
        <v>96</v>
      </c>
      <c r="D115" s="2" t="s">
        <v>7</v>
      </c>
      <c r="E115" s="3">
        <v>1</v>
      </c>
    </row>
    <row r="116" spans="1:5">
      <c r="A116" s="29" t="s">
        <v>5094</v>
      </c>
      <c r="B116" s="29">
        <v>20200339</v>
      </c>
      <c r="C116" s="29" t="s">
        <v>96</v>
      </c>
      <c r="D116" s="2" t="s">
        <v>7</v>
      </c>
      <c r="E116" s="3">
        <v>1</v>
      </c>
    </row>
    <row r="117" spans="1:5">
      <c r="A117" s="29" t="s">
        <v>5094</v>
      </c>
      <c r="B117" s="29">
        <v>20200340</v>
      </c>
      <c r="C117" s="29" t="s">
        <v>96</v>
      </c>
      <c r="D117" s="2" t="s">
        <v>7</v>
      </c>
      <c r="E117" s="3">
        <v>1</v>
      </c>
    </row>
    <row r="118" spans="1:5">
      <c r="A118" s="29" t="s">
        <v>5094</v>
      </c>
      <c r="B118" s="29">
        <v>20200341</v>
      </c>
      <c r="C118" s="29" t="s">
        <v>96</v>
      </c>
      <c r="D118" s="2" t="s">
        <v>7</v>
      </c>
      <c r="E118" s="3">
        <v>1</v>
      </c>
    </row>
    <row r="119" spans="1:5">
      <c r="A119" s="29" t="s">
        <v>5094</v>
      </c>
      <c r="B119" s="29">
        <v>20130394</v>
      </c>
      <c r="C119" s="29" t="s">
        <v>96</v>
      </c>
      <c r="D119" s="2" t="s">
        <v>7</v>
      </c>
      <c r="E119" s="3">
        <v>1</v>
      </c>
    </row>
    <row r="120" spans="1:5">
      <c r="A120" s="29" t="s">
        <v>5094</v>
      </c>
      <c r="B120" s="29">
        <v>20130395</v>
      </c>
      <c r="C120" s="29" t="s">
        <v>96</v>
      </c>
      <c r="D120" s="2" t="s">
        <v>7</v>
      </c>
      <c r="E120" s="3">
        <v>1</v>
      </c>
    </row>
    <row r="121" spans="1:5">
      <c r="A121" s="29" t="s">
        <v>5094</v>
      </c>
      <c r="B121" s="29">
        <v>20130396</v>
      </c>
      <c r="C121" s="29" t="s">
        <v>96</v>
      </c>
      <c r="D121" s="2" t="s">
        <v>7</v>
      </c>
      <c r="E121" s="3">
        <v>1</v>
      </c>
    </row>
    <row r="122" spans="1:5">
      <c r="A122" s="29" t="s">
        <v>5094</v>
      </c>
      <c r="B122" s="29">
        <v>20130397</v>
      </c>
      <c r="C122" s="29" t="s">
        <v>96</v>
      </c>
      <c r="D122" s="2" t="s">
        <v>7</v>
      </c>
      <c r="E122" s="3">
        <v>1</v>
      </c>
    </row>
    <row r="123" spans="1:5">
      <c r="A123" s="29" t="s">
        <v>5094</v>
      </c>
      <c r="B123" s="29">
        <v>20130398</v>
      </c>
      <c r="C123" s="29" t="s">
        <v>96</v>
      </c>
      <c r="D123" s="2" t="s">
        <v>7</v>
      </c>
      <c r="E123" s="3">
        <v>1</v>
      </c>
    </row>
    <row r="124" spans="1:5">
      <c r="A124" s="29" t="s">
        <v>5094</v>
      </c>
      <c r="B124" s="29">
        <v>20130399</v>
      </c>
      <c r="C124" s="29" t="s">
        <v>96</v>
      </c>
      <c r="D124" s="2" t="s">
        <v>7</v>
      </c>
      <c r="E124" s="3">
        <v>1</v>
      </c>
    </row>
    <row r="125" spans="1:5">
      <c r="A125" s="29" t="s">
        <v>5094</v>
      </c>
      <c r="B125" s="29">
        <v>20130400</v>
      </c>
      <c r="C125" s="29" t="s">
        <v>96</v>
      </c>
      <c r="D125" s="2" t="s">
        <v>7</v>
      </c>
      <c r="E125" s="3">
        <v>1</v>
      </c>
    </row>
    <row r="126" spans="1:5">
      <c r="A126" s="29" t="s">
        <v>5094</v>
      </c>
      <c r="B126" s="29">
        <v>20130401</v>
      </c>
      <c r="C126" s="29" t="s">
        <v>96</v>
      </c>
      <c r="D126" s="2" t="s">
        <v>7</v>
      </c>
      <c r="E126" s="3">
        <v>1</v>
      </c>
    </row>
    <row r="127" spans="1:5">
      <c r="A127" s="29" t="s">
        <v>5094</v>
      </c>
      <c r="B127" s="29">
        <v>20130402</v>
      </c>
      <c r="C127" s="29" t="s">
        <v>96</v>
      </c>
      <c r="D127" s="2" t="s">
        <v>7</v>
      </c>
      <c r="E127" s="3">
        <v>1</v>
      </c>
    </row>
    <row r="128" spans="1:5">
      <c r="A128" s="29" t="s">
        <v>5094</v>
      </c>
      <c r="B128" s="29">
        <v>20130403</v>
      </c>
      <c r="C128" s="29" t="s">
        <v>96</v>
      </c>
      <c r="D128" s="2" t="s">
        <v>7</v>
      </c>
      <c r="E128" s="3">
        <v>1</v>
      </c>
    </row>
    <row r="129" spans="1:5">
      <c r="A129" s="29" t="s">
        <v>5094</v>
      </c>
      <c r="B129" s="29">
        <v>20130404</v>
      </c>
      <c r="C129" s="29" t="s">
        <v>96</v>
      </c>
      <c r="D129" s="2" t="s">
        <v>7</v>
      </c>
      <c r="E129" s="3">
        <v>1</v>
      </c>
    </row>
    <row r="130" spans="1:5">
      <c r="A130" s="29" t="s">
        <v>5094</v>
      </c>
      <c r="B130" s="29">
        <v>20130405</v>
      </c>
      <c r="C130" s="29" t="s">
        <v>96</v>
      </c>
      <c r="D130" s="2" t="s">
        <v>7</v>
      </c>
      <c r="E130" s="3">
        <v>1</v>
      </c>
    </row>
    <row r="131" spans="1:5">
      <c r="A131" s="29" t="s">
        <v>5094</v>
      </c>
      <c r="B131" s="29">
        <v>20130406</v>
      </c>
      <c r="C131" s="29" t="s">
        <v>96</v>
      </c>
      <c r="D131" s="2" t="s">
        <v>7</v>
      </c>
      <c r="E131" s="3">
        <v>1</v>
      </c>
    </row>
    <row r="132" spans="1:5">
      <c r="A132" s="29" t="s">
        <v>5094</v>
      </c>
      <c r="B132" s="29">
        <v>20130407</v>
      </c>
      <c r="C132" s="29" t="s">
        <v>96</v>
      </c>
      <c r="D132" s="2" t="s">
        <v>7</v>
      </c>
      <c r="E132" s="3">
        <v>1</v>
      </c>
    </row>
    <row r="133" spans="1:5">
      <c r="A133" s="29" t="s">
        <v>5094</v>
      </c>
      <c r="B133" s="29">
        <v>20130408</v>
      </c>
      <c r="C133" s="29" t="s">
        <v>96</v>
      </c>
      <c r="D133" s="2" t="s">
        <v>7</v>
      </c>
      <c r="E133" s="3">
        <v>1</v>
      </c>
    </row>
    <row r="134" spans="1:5">
      <c r="A134" s="29" t="s">
        <v>5094</v>
      </c>
      <c r="B134" s="29">
        <v>20130409</v>
      </c>
      <c r="C134" s="29" t="s">
        <v>96</v>
      </c>
      <c r="D134" s="2" t="s">
        <v>7</v>
      </c>
      <c r="E134" s="3">
        <v>1</v>
      </c>
    </row>
    <row r="135" spans="1:5">
      <c r="A135" s="29" t="s">
        <v>5094</v>
      </c>
      <c r="B135" s="29">
        <v>20130410</v>
      </c>
      <c r="C135" s="29" t="s">
        <v>96</v>
      </c>
      <c r="D135" s="2" t="s">
        <v>7</v>
      </c>
      <c r="E135" s="3">
        <v>1</v>
      </c>
    </row>
    <row r="136" spans="1:5">
      <c r="A136" s="29" t="s">
        <v>5094</v>
      </c>
      <c r="B136" s="29">
        <v>20130411</v>
      </c>
      <c r="C136" s="29" t="s">
        <v>96</v>
      </c>
      <c r="D136" s="2" t="s">
        <v>7</v>
      </c>
      <c r="E136" s="3">
        <v>1</v>
      </c>
    </row>
    <row r="137" spans="1:5">
      <c r="A137" s="29" t="s">
        <v>5094</v>
      </c>
      <c r="B137" s="29">
        <v>20130412</v>
      </c>
      <c r="C137" s="29" t="s">
        <v>96</v>
      </c>
      <c r="D137" s="2" t="s">
        <v>7</v>
      </c>
      <c r="E137" s="3">
        <v>1</v>
      </c>
    </row>
    <row r="138" spans="1:5">
      <c r="A138" s="29" t="s">
        <v>5094</v>
      </c>
      <c r="B138" s="29">
        <v>20130413</v>
      </c>
      <c r="C138" s="29" t="s">
        <v>96</v>
      </c>
      <c r="D138" s="2" t="s">
        <v>7</v>
      </c>
      <c r="E138" s="3">
        <v>1</v>
      </c>
    </row>
    <row r="139" spans="1:5">
      <c r="A139" s="29" t="s">
        <v>5094</v>
      </c>
      <c r="B139" s="29">
        <v>20130414</v>
      </c>
      <c r="C139" s="29" t="s">
        <v>96</v>
      </c>
      <c r="D139" s="2" t="s">
        <v>7</v>
      </c>
      <c r="E139" s="3">
        <v>1</v>
      </c>
    </row>
    <row r="140" spans="1:5">
      <c r="A140" s="29" t="s">
        <v>5094</v>
      </c>
      <c r="B140" s="29">
        <v>20130415</v>
      </c>
      <c r="C140" s="29" t="s">
        <v>96</v>
      </c>
      <c r="D140" s="2" t="s">
        <v>7</v>
      </c>
      <c r="E140" s="3">
        <v>1</v>
      </c>
    </row>
    <row r="141" spans="1:5">
      <c r="A141" s="29" t="s">
        <v>5094</v>
      </c>
      <c r="B141" s="29">
        <v>20130416</v>
      </c>
      <c r="C141" s="29" t="s">
        <v>96</v>
      </c>
      <c r="D141" s="2" t="s">
        <v>7</v>
      </c>
      <c r="E141" s="3">
        <v>1</v>
      </c>
    </row>
    <row r="142" spans="1:5">
      <c r="A142" s="29" t="s">
        <v>5094</v>
      </c>
      <c r="B142" s="29">
        <v>20130417</v>
      </c>
      <c r="C142" s="29" t="s">
        <v>96</v>
      </c>
      <c r="D142" s="2" t="s">
        <v>7</v>
      </c>
      <c r="E142" s="3">
        <v>1</v>
      </c>
    </row>
    <row r="143" spans="1:5">
      <c r="A143" s="29" t="s">
        <v>5094</v>
      </c>
      <c r="B143" s="29">
        <v>20130418</v>
      </c>
      <c r="C143" s="29" t="s">
        <v>96</v>
      </c>
      <c r="D143" s="2" t="s">
        <v>7</v>
      </c>
      <c r="E143" s="3">
        <v>1</v>
      </c>
    </row>
    <row r="144" spans="1:5">
      <c r="A144" s="29" t="s">
        <v>5094</v>
      </c>
      <c r="B144" s="29">
        <v>20130419</v>
      </c>
      <c r="C144" s="29" t="s">
        <v>96</v>
      </c>
      <c r="D144" s="2" t="s">
        <v>7</v>
      </c>
      <c r="E144" s="3">
        <v>1</v>
      </c>
    </row>
    <row r="145" spans="1:5">
      <c r="A145" s="29" t="s">
        <v>5094</v>
      </c>
      <c r="B145" s="29">
        <v>20130420</v>
      </c>
      <c r="C145" s="29" t="s">
        <v>96</v>
      </c>
      <c r="D145" s="2" t="s">
        <v>7</v>
      </c>
      <c r="E145" s="3">
        <v>1</v>
      </c>
    </row>
    <row r="146" spans="1:5">
      <c r="A146" s="29" t="s">
        <v>5094</v>
      </c>
      <c r="B146" s="29">
        <v>20130421</v>
      </c>
      <c r="C146" s="29" t="s">
        <v>96</v>
      </c>
      <c r="D146" s="2" t="s">
        <v>7</v>
      </c>
      <c r="E146" s="3">
        <v>1</v>
      </c>
    </row>
    <row r="147" spans="1:5">
      <c r="A147" s="29" t="s">
        <v>5094</v>
      </c>
      <c r="B147" s="29">
        <v>20130422</v>
      </c>
      <c r="C147" s="29" t="s">
        <v>96</v>
      </c>
      <c r="D147" s="2" t="s">
        <v>7</v>
      </c>
      <c r="E147" s="3">
        <v>1</v>
      </c>
    </row>
    <row r="148" spans="1:5">
      <c r="A148" s="29" t="s">
        <v>5094</v>
      </c>
      <c r="B148" s="29">
        <v>20130423</v>
      </c>
      <c r="C148" s="29" t="s">
        <v>96</v>
      </c>
      <c r="D148" s="2" t="s">
        <v>7</v>
      </c>
      <c r="E148" s="3">
        <v>1</v>
      </c>
    </row>
    <row r="149" spans="1:5">
      <c r="A149" s="29" t="s">
        <v>5094</v>
      </c>
      <c r="B149" s="29">
        <v>20130424</v>
      </c>
      <c r="C149" s="29" t="s">
        <v>96</v>
      </c>
      <c r="D149" s="2" t="s">
        <v>7</v>
      </c>
      <c r="E149" s="3">
        <v>1</v>
      </c>
    </row>
    <row r="150" spans="1:5">
      <c r="A150" s="29" t="s">
        <v>5094</v>
      </c>
      <c r="B150" s="29">
        <v>20130425</v>
      </c>
      <c r="C150" s="29" t="s">
        <v>96</v>
      </c>
      <c r="D150" s="2" t="s">
        <v>7</v>
      </c>
      <c r="E150" s="3">
        <v>1</v>
      </c>
    </row>
    <row r="151" spans="1:5">
      <c r="A151" s="29" t="s">
        <v>5094</v>
      </c>
      <c r="B151" s="29">
        <v>20130426</v>
      </c>
      <c r="C151" s="29" t="s">
        <v>96</v>
      </c>
      <c r="D151" s="2" t="s">
        <v>7</v>
      </c>
      <c r="E151" s="3">
        <v>1</v>
      </c>
    </row>
    <row r="152" spans="1:5">
      <c r="A152" s="29" t="s">
        <v>5094</v>
      </c>
      <c r="B152" s="29">
        <v>20130427</v>
      </c>
      <c r="C152" s="29" t="s">
        <v>96</v>
      </c>
      <c r="D152" s="2" t="s">
        <v>7</v>
      </c>
      <c r="E152" s="3">
        <v>1</v>
      </c>
    </row>
    <row r="153" spans="1:5">
      <c r="A153" s="29" t="s">
        <v>5094</v>
      </c>
      <c r="B153" s="29">
        <v>20130428</v>
      </c>
      <c r="C153" s="29" t="s">
        <v>96</v>
      </c>
      <c r="D153" s="2" t="s">
        <v>7</v>
      </c>
      <c r="E153" s="3">
        <v>1</v>
      </c>
    </row>
    <row r="154" spans="1:5">
      <c r="A154" s="29" t="s">
        <v>5094</v>
      </c>
      <c r="B154" s="29">
        <v>20130429</v>
      </c>
      <c r="C154" s="29" t="s">
        <v>96</v>
      </c>
      <c r="D154" s="2" t="s">
        <v>7</v>
      </c>
      <c r="E154" s="3">
        <v>1</v>
      </c>
    </row>
    <row r="155" spans="1:5">
      <c r="A155" s="29" t="s">
        <v>5094</v>
      </c>
      <c r="B155" s="29">
        <v>20130430</v>
      </c>
      <c r="C155" s="29" t="s">
        <v>96</v>
      </c>
      <c r="D155" s="2" t="s">
        <v>7</v>
      </c>
      <c r="E155" s="3">
        <v>1</v>
      </c>
    </row>
    <row r="156" spans="1:5">
      <c r="A156" s="29" t="s">
        <v>5094</v>
      </c>
      <c r="B156" s="29">
        <v>20130431</v>
      </c>
      <c r="C156" s="29" t="s">
        <v>96</v>
      </c>
      <c r="D156" s="2" t="s">
        <v>7</v>
      </c>
      <c r="E156" s="3">
        <v>1</v>
      </c>
    </row>
    <row r="157" spans="1:5">
      <c r="A157" s="29" t="s">
        <v>5094</v>
      </c>
      <c r="B157" s="29">
        <v>20130432</v>
      </c>
      <c r="C157" s="29" t="s">
        <v>96</v>
      </c>
      <c r="D157" s="2" t="s">
        <v>7</v>
      </c>
      <c r="E157" s="3">
        <v>1</v>
      </c>
    </row>
    <row r="158" spans="1:5">
      <c r="A158" s="29" t="s">
        <v>5094</v>
      </c>
      <c r="B158" s="29">
        <v>20130433</v>
      </c>
      <c r="C158" s="29" t="s">
        <v>96</v>
      </c>
      <c r="D158" s="2" t="s">
        <v>7</v>
      </c>
      <c r="E158" s="3">
        <v>1</v>
      </c>
    </row>
    <row r="159" spans="1:5">
      <c r="A159" s="29" t="s">
        <v>5094</v>
      </c>
      <c r="B159" s="29">
        <v>20130434</v>
      </c>
      <c r="C159" s="29" t="s">
        <v>96</v>
      </c>
      <c r="D159" s="2" t="s">
        <v>7</v>
      </c>
      <c r="E159" s="3">
        <v>1</v>
      </c>
    </row>
    <row r="160" spans="1:5">
      <c r="A160" s="29" t="s">
        <v>5094</v>
      </c>
      <c r="B160" s="29">
        <v>20130435</v>
      </c>
      <c r="C160" s="29" t="s">
        <v>96</v>
      </c>
      <c r="D160" s="2" t="s">
        <v>7</v>
      </c>
      <c r="E160" s="3">
        <v>1</v>
      </c>
    </row>
    <row r="161" spans="1:5">
      <c r="A161" s="29" t="s">
        <v>5094</v>
      </c>
      <c r="B161" s="29">
        <v>20130436</v>
      </c>
      <c r="C161" s="29" t="s">
        <v>96</v>
      </c>
      <c r="D161" s="2" t="s">
        <v>7</v>
      </c>
      <c r="E161" s="3">
        <v>1</v>
      </c>
    </row>
    <row r="162" spans="1:5">
      <c r="A162" s="29" t="s">
        <v>5094</v>
      </c>
      <c r="B162" s="29">
        <v>20130437</v>
      </c>
      <c r="C162" s="29" t="s">
        <v>96</v>
      </c>
      <c r="D162" s="2" t="s">
        <v>7</v>
      </c>
      <c r="E162" s="3">
        <v>1</v>
      </c>
    </row>
    <row r="163" spans="1:5">
      <c r="A163" s="29" t="s">
        <v>5094</v>
      </c>
      <c r="B163" s="29">
        <v>20130438</v>
      </c>
      <c r="C163" s="29" t="s">
        <v>96</v>
      </c>
      <c r="D163" s="2" t="s">
        <v>7</v>
      </c>
      <c r="E163" s="3">
        <v>1</v>
      </c>
    </row>
    <row r="164" spans="1:5">
      <c r="A164" s="29" t="s">
        <v>5094</v>
      </c>
      <c r="B164" s="29">
        <v>20130439</v>
      </c>
      <c r="C164" s="29" t="s">
        <v>96</v>
      </c>
      <c r="D164" s="2" t="s">
        <v>7</v>
      </c>
      <c r="E164" s="3">
        <v>1</v>
      </c>
    </row>
    <row r="165" spans="1:5">
      <c r="A165" s="29" t="s">
        <v>5094</v>
      </c>
      <c r="B165" s="29">
        <v>20130440</v>
      </c>
      <c r="C165" s="29" t="s">
        <v>96</v>
      </c>
      <c r="D165" s="2" t="s">
        <v>7</v>
      </c>
      <c r="E165" s="3">
        <v>1</v>
      </c>
    </row>
    <row r="166" spans="1:5">
      <c r="A166" s="29" t="s">
        <v>5094</v>
      </c>
      <c r="B166" s="29">
        <v>20130441</v>
      </c>
      <c r="C166" s="29" t="s">
        <v>96</v>
      </c>
      <c r="D166" s="2" t="s">
        <v>7</v>
      </c>
      <c r="E166" s="3">
        <v>1</v>
      </c>
    </row>
    <row r="167" spans="1:5">
      <c r="A167" s="29" t="s">
        <v>5094</v>
      </c>
      <c r="B167" s="29">
        <v>20130442</v>
      </c>
      <c r="C167" s="29" t="s">
        <v>96</v>
      </c>
      <c r="D167" s="2" t="s">
        <v>7</v>
      </c>
      <c r="E167" s="3">
        <v>1</v>
      </c>
    </row>
    <row r="168" spans="1:5">
      <c r="A168" s="29" t="s">
        <v>5094</v>
      </c>
      <c r="B168" s="29">
        <v>20130443</v>
      </c>
      <c r="C168" s="29" t="s">
        <v>96</v>
      </c>
      <c r="D168" s="2" t="s">
        <v>7</v>
      </c>
      <c r="E168" s="3">
        <v>1</v>
      </c>
    </row>
    <row r="169" spans="1:5">
      <c r="A169" s="29" t="s">
        <v>5094</v>
      </c>
      <c r="B169" s="29">
        <v>20130444</v>
      </c>
      <c r="C169" s="29" t="s">
        <v>96</v>
      </c>
      <c r="D169" s="2" t="s">
        <v>7</v>
      </c>
      <c r="E169" s="3">
        <v>1</v>
      </c>
    </row>
    <row r="170" spans="1:5">
      <c r="A170" s="29" t="s">
        <v>5094</v>
      </c>
      <c r="B170" s="29">
        <v>20130445</v>
      </c>
      <c r="C170" s="29" t="s">
        <v>96</v>
      </c>
      <c r="D170" s="2" t="s">
        <v>7</v>
      </c>
      <c r="E170" s="3">
        <v>1</v>
      </c>
    </row>
    <row r="171" spans="1:5">
      <c r="A171" s="29" t="s">
        <v>5094</v>
      </c>
      <c r="B171" s="29">
        <v>20130446</v>
      </c>
      <c r="C171" s="29" t="s">
        <v>96</v>
      </c>
      <c r="D171" s="2" t="s">
        <v>7</v>
      </c>
      <c r="E171" s="3">
        <v>1</v>
      </c>
    </row>
    <row r="172" spans="1:5">
      <c r="A172" s="29" t="s">
        <v>5094</v>
      </c>
      <c r="B172" s="29">
        <v>20130447</v>
      </c>
      <c r="C172" s="29" t="s">
        <v>96</v>
      </c>
      <c r="D172" s="2" t="s">
        <v>7</v>
      </c>
      <c r="E172" s="3">
        <v>1</v>
      </c>
    </row>
    <row r="173" spans="1:5">
      <c r="A173" s="29" t="s">
        <v>5094</v>
      </c>
      <c r="B173" s="29">
        <v>20130448</v>
      </c>
      <c r="C173" s="29" t="s">
        <v>96</v>
      </c>
      <c r="D173" s="2" t="s">
        <v>7</v>
      </c>
      <c r="E173" s="3">
        <v>1</v>
      </c>
    </row>
    <row r="174" spans="1:5">
      <c r="A174" s="29" t="s">
        <v>5094</v>
      </c>
      <c r="B174" s="29">
        <v>20100023</v>
      </c>
      <c r="C174" s="29" t="s">
        <v>96</v>
      </c>
      <c r="D174" s="2" t="s">
        <v>7</v>
      </c>
      <c r="E174" s="3">
        <v>1</v>
      </c>
    </row>
    <row r="175" spans="1:5">
      <c r="A175" s="29" t="s">
        <v>5094</v>
      </c>
      <c r="B175" s="29">
        <v>20100024</v>
      </c>
      <c r="C175" s="29" t="s">
        <v>96</v>
      </c>
      <c r="D175" s="2" t="s">
        <v>7</v>
      </c>
      <c r="E175" s="3">
        <v>1</v>
      </c>
    </row>
    <row r="176" spans="1:5">
      <c r="A176" s="29" t="s">
        <v>5094</v>
      </c>
      <c r="B176" s="29">
        <v>20130290</v>
      </c>
      <c r="C176" s="29" t="s">
        <v>96</v>
      </c>
      <c r="D176" s="2" t="s">
        <v>7</v>
      </c>
      <c r="E176" s="3">
        <v>1</v>
      </c>
    </row>
    <row r="177" spans="1:5">
      <c r="A177" s="29" t="s">
        <v>5094</v>
      </c>
      <c r="B177" s="29">
        <v>20130291</v>
      </c>
      <c r="C177" s="29" t="s">
        <v>96</v>
      </c>
      <c r="D177" s="2" t="s">
        <v>7</v>
      </c>
      <c r="E177" s="3">
        <v>1</v>
      </c>
    </row>
    <row r="178" spans="1:5">
      <c r="A178" s="29" t="s">
        <v>5094</v>
      </c>
      <c r="B178" s="29">
        <v>20130292</v>
      </c>
      <c r="C178" s="29" t="s">
        <v>96</v>
      </c>
      <c r="D178" s="2" t="s">
        <v>7</v>
      </c>
      <c r="E178" s="3">
        <v>1</v>
      </c>
    </row>
    <row r="179" spans="1:5">
      <c r="A179" s="29" t="s">
        <v>5094</v>
      </c>
      <c r="B179" s="29">
        <v>20130293</v>
      </c>
      <c r="C179" s="29" t="s">
        <v>96</v>
      </c>
      <c r="D179" s="2" t="s">
        <v>7</v>
      </c>
      <c r="E179" s="3">
        <v>1</v>
      </c>
    </row>
    <row r="180" spans="1:5">
      <c r="A180" s="29" t="s">
        <v>5094</v>
      </c>
      <c r="B180" s="29">
        <v>20130294</v>
      </c>
      <c r="C180" s="29" t="s">
        <v>96</v>
      </c>
      <c r="D180" s="2" t="s">
        <v>7</v>
      </c>
      <c r="E180" s="3">
        <v>1</v>
      </c>
    </row>
    <row r="181" spans="1:5">
      <c r="A181" s="29" t="s">
        <v>5094</v>
      </c>
      <c r="B181" s="29">
        <v>20130295</v>
      </c>
      <c r="C181" s="29" t="s">
        <v>96</v>
      </c>
      <c r="D181" s="2" t="s">
        <v>7</v>
      </c>
      <c r="E181" s="3">
        <v>1</v>
      </c>
    </row>
    <row r="182" spans="1:5">
      <c r="A182" s="29" t="s">
        <v>5094</v>
      </c>
      <c r="B182" s="29">
        <v>20130296</v>
      </c>
      <c r="C182" s="29" t="s">
        <v>96</v>
      </c>
      <c r="D182" s="2" t="s">
        <v>7</v>
      </c>
      <c r="E182" s="3">
        <v>1</v>
      </c>
    </row>
    <row r="183" spans="1:5">
      <c r="A183" s="29" t="s">
        <v>5094</v>
      </c>
      <c r="B183" s="29">
        <v>20130297</v>
      </c>
      <c r="C183" s="29" t="s">
        <v>96</v>
      </c>
      <c r="D183" s="2" t="s">
        <v>7</v>
      </c>
      <c r="E183" s="3">
        <v>1</v>
      </c>
    </row>
    <row r="184" spans="1:5">
      <c r="A184" s="29" t="s">
        <v>5094</v>
      </c>
      <c r="B184" s="29">
        <v>20130298</v>
      </c>
      <c r="C184" s="29" t="s">
        <v>96</v>
      </c>
      <c r="D184" s="2" t="s">
        <v>7</v>
      </c>
      <c r="E184" s="3">
        <v>1</v>
      </c>
    </row>
    <row r="185" spans="1:5">
      <c r="A185" s="29" t="s">
        <v>5094</v>
      </c>
      <c r="B185" s="29">
        <v>20130299</v>
      </c>
      <c r="C185" s="29" t="s">
        <v>96</v>
      </c>
      <c r="D185" s="2" t="s">
        <v>7</v>
      </c>
      <c r="E185" s="3">
        <v>1</v>
      </c>
    </row>
    <row r="186" spans="1:5">
      <c r="A186" s="29" t="s">
        <v>5094</v>
      </c>
      <c r="B186" s="29">
        <v>20130300</v>
      </c>
      <c r="C186" s="29" t="s">
        <v>96</v>
      </c>
      <c r="D186" s="2" t="s">
        <v>7</v>
      </c>
      <c r="E186" s="3">
        <v>1</v>
      </c>
    </row>
    <row r="187" spans="1:5">
      <c r="A187" s="29" t="s">
        <v>5094</v>
      </c>
      <c r="B187" s="29">
        <v>20130301</v>
      </c>
      <c r="C187" s="29" t="s">
        <v>96</v>
      </c>
      <c r="D187" s="2" t="s">
        <v>7</v>
      </c>
      <c r="E187" s="3">
        <v>1</v>
      </c>
    </row>
    <row r="188" spans="1:5">
      <c r="A188" s="29" t="s">
        <v>5094</v>
      </c>
      <c r="B188" s="29">
        <v>20130302</v>
      </c>
      <c r="C188" s="29" t="s">
        <v>96</v>
      </c>
      <c r="D188" s="2" t="s">
        <v>7</v>
      </c>
      <c r="E188" s="3">
        <v>1</v>
      </c>
    </row>
    <row r="189" spans="1:5">
      <c r="A189" s="29" t="s">
        <v>5094</v>
      </c>
      <c r="B189" s="29">
        <v>20130303</v>
      </c>
      <c r="C189" s="29" t="s">
        <v>96</v>
      </c>
      <c r="D189" s="2" t="s">
        <v>7</v>
      </c>
      <c r="E189" s="3">
        <v>1</v>
      </c>
    </row>
    <row r="190" spans="1:5">
      <c r="A190" s="29" t="s">
        <v>5094</v>
      </c>
      <c r="B190" s="29">
        <v>20130304</v>
      </c>
      <c r="C190" s="29" t="s">
        <v>96</v>
      </c>
      <c r="D190" s="2" t="s">
        <v>7</v>
      </c>
      <c r="E190" s="3">
        <v>1</v>
      </c>
    </row>
    <row r="191" spans="1:5">
      <c r="A191" s="29" t="s">
        <v>5094</v>
      </c>
      <c r="B191" s="29">
        <v>20130305</v>
      </c>
      <c r="C191" s="29" t="s">
        <v>96</v>
      </c>
      <c r="D191" s="2" t="s">
        <v>7</v>
      </c>
      <c r="E191" s="3">
        <v>1</v>
      </c>
    </row>
    <row r="192" spans="1:5">
      <c r="A192" s="29" t="s">
        <v>5094</v>
      </c>
      <c r="B192" s="29">
        <v>20130306</v>
      </c>
      <c r="C192" s="29" t="s">
        <v>96</v>
      </c>
      <c r="D192" s="2" t="s">
        <v>7</v>
      </c>
      <c r="E192" s="3">
        <v>1</v>
      </c>
    </row>
    <row r="193" spans="1:5">
      <c r="A193" s="29" t="s">
        <v>5094</v>
      </c>
      <c r="B193" s="29">
        <v>20130307</v>
      </c>
      <c r="C193" s="29" t="s">
        <v>96</v>
      </c>
      <c r="D193" s="2" t="s">
        <v>7</v>
      </c>
      <c r="E193" s="3">
        <v>1</v>
      </c>
    </row>
    <row r="194" spans="1:5">
      <c r="A194" s="29" t="s">
        <v>5094</v>
      </c>
      <c r="B194" s="29">
        <v>20130308</v>
      </c>
      <c r="C194" s="29" t="s">
        <v>96</v>
      </c>
      <c r="D194" s="2" t="s">
        <v>7</v>
      </c>
      <c r="E194" s="3">
        <v>1</v>
      </c>
    </row>
    <row r="195" spans="1:5">
      <c r="A195" s="29" t="s">
        <v>5094</v>
      </c>
      <c r="B195" s="29">
        <v>20130309</v>
      </c>
      <c r="C195" s="29" t="s">
        <v>96</v>
      </c>
      <c r="D195" s="2" t="s">
        <v>7</v>
      </c>
      <c r="E195" s="3">
        <v>1</v>
      </c>
    </row>
    <row r="196" spans="1:5">
      <c r="A196" s="29" t="s">
        <v>5094</v>
      </c>
      <c r="B196" s="29">
        <v>20130310</v>
      </c>
      <c r="C196" s="29" t="s">
        <v>96</v>
      </c>
      <c r="D196" s="2" t="s">
        <v>7</v>
      </c>
      <c r="E196" s="3">
        <v>1</v>
      </c>
    </row>
    <row r="197" spans="1:5">
      <c r="A197" s="29" t="s">
        <v>5094</v>
      </c>
      <c r="B197" s="29">
        <v>20130311</v>
      </c>
      <c r="C197" s="29" t="s">
        <v>96</v>
      </c>
      <c r="D197" s="2" t="s">
        <v>7</v>
      </c>
      <c r="E197" s="3">
        <v>1</v>
      </c>
    </row>
    <row r="198" spans="1:5">
      <c r="A198" s="29" t="s">
        <v>5094</v>
      </c>
      <c r="B198" s="29">
        <v>20130312</v>
      </c>
      <c r="C198" s="29" t="s">
        <v>96</v>
      </c>
      <c r="D198" s="2" t="s">
        <v>7</v>
      </c>
      <c r="E198" s="3">
        <v>1</v>
      </c>
    </row>
    <row r="199" spans="1:5">
      <c r="A199" s="29" t="s">
        <v>5094</v>
      </c>
      <c r="B199" s="29">
        <v>20130318</v>
      </c>
      <c r="C199" s="29" t="s">
        <v>96</v>
      </c>
      <c r="D199" s="2" t="s">
        <v>7</v>
      </c>
      <c r="E199" s="3">
        <v>1</v>
      </c>
    </row>
    <row r="200" spans="1:5">
      <c r="A200" s="29" t="s">
        <v>5094</v>
      </c>
      <c r="B200" s="29">
        <v>20130319</v>
      </c>
      <c r="C200" s="29" t="s">
        <v>96</v>
      </c>
      <c r="D200" s="2" t="s">
        <v>7</v>
      </c>
      <c r="E200" s="3">
        <v>1</v>
      </c>
    </row>
    <row r="201" spans="1:5">
      <c r="A201" s="29" t="s">
        <v>5094</v>
      </c>
      <c r="B201" s="29">
        <v>20130320</v>
      </c>
      <c r="C201" s="29" t="s">
        <v>96</v>
      </c>
      <c r="D201" s="2" t="s">
        <v>7</v>
      </c>
      <c r="E201" s="3">
        <v>1</v>
      </c>
    </row>
    <row r="202" spans="1:5">
      <c r="A202" s="29" t="s">
        <v>5094</v>
      </c>
      <c r="B202" s="29">
        <v>20130321</v>
      </c>
      <c r="C202" s="29" t="s">
        <v>96</v>
      </c>
      <c r="D202" s="2" t="s">
        <v>7</v>
      </c>
      <c r="E202" s="3">
        <v>1</v>
      </c>
    </row>
    <row r="203" spans="1:5">
      <c r="A203" s="29" t="s">
        <v>5094</v>
      </c>
      <c r="B203" s="29">
        <v>20130322</v>
      </c>
      <c r="C203" s="29" t="s">
        <v>96</v>
      </c>
      <c r="D203" s="2" t="s">
        <v>7</v>
      </c>
      <c r="E203" s="3">
        <v>1</v>
      </c>
    </row>
    <row r="204" spans="1:5">
      <c r="A204" s="29" t="s">
        <v>5094</v>
      </c>
      <c r="B204" s="29">
        <v>20130323</v>
      </c>
      <c r="C204" s="29" t="s">
        <v>96</v>
      </c>
      <c r="D204" s="2" t="s">
        <v>7</v>
      </c>
      <c r="E204" s="3">
        <v>1</v>
      </c>
    </row>
    <row r="205" spans="1:5">
      <c r="A205" s="29" t="s">
        <v>5094</v>
      </c>
      <c r="B205" s="29">
        <v>20130324</v>
      </c>
      <c r="C205" s="29" t="s">
        <v>96</v>
      </c>
      <c r="D205" s="2" t="s">
        <v>7</v>
      </c>
      <c r="E205" s="3">
        <v>1</v>
      </c>
    </row>
    <row r="206" spans="1:5">
      <c r="A206" s="29" t="s">
        <v>5094</v>
      </c>
      <c r="B206" s="29">
        <v>20130325</v>
      </c>
      <c r="C206" s="29" t="s">
        <v>96</v>
      </c>
      <c r="D206" s="2" t="s">
        <v>7</v>
      </c>
      <c r="E206" s="3">
        <v>1</v>
      </c>
    </row>
    <row r="207" spans="1:5">
      <c r="A207" s="29" t="s">
        <v>5094</v>
      </c>
      <c r="B207" s="29">
        <v>20130326</v>
      </c>
      <c r="C207" s="29" t="s">
        <v>96</v>
      </c>
      <c r="D207" s="2" t="s">
        <v>7</v>
      </c>
      <c r="E207" s="3">
        <v>1</v>
      </c>
    </row>
    <row r="208" spans="1:5">
      <c r="A208" s="29" t="s">
        <v>5094</v>
      </c>
      <c r="B208" s="29">
        <v>20130327</v>
      </c>
      <c r="C208" s="29" t="s">
        <v>96</v>
      </c>
      <c r="D208" s="2" t="s">
        <v>7</v>
      </c>
      <c r="E208" s="3">
        <v>1</v>
      </c>
    </row>
    <row r="209" spans="1:5">
      <c r="A209" s="29" t="s">
        <v>5094</v>
      </c>
      <c r="B209" s="29">
        <v>20130328</v>
      </c>
      <c r="C209" s="29" t="s">
        <v>96</v>
      </c>
      <c r="D209" s="2" t="s">
        <v>7</v>
      </c>
      <c r="E209" s="3">
        <v>1</v>
      </c>
    </row>
    <row r="210" spans="1:5">
      <c r="A210" s="29" t="s">
        <v>5094</v>
      </c>
      <c r="B210" s="29">
        <v>20130329</v>
      </c>
      <c r="C210" s="29" t="s">
        <v>96</v>
      </c>
      <c r="D210" s="2" t="s">
        <v>7</v>
      </c>
      <c r="E210" s="3">
        <v>1</v>
      </c>
    </row>
    <row r="211" spans="1:5">
      <c r="A211" s="29" t="s">
        <v>5094</v>
      </c>
      <c r="B211" s="29">
        <v>20130330</v>
      </c>
      <c r="C211" s="29" t="s">
        <v>96</v>
      </c>
      <c r="D211" s="2" t="s">
        <v>7</v>
      </c>
      <c r="E211" s="3">
        <v>1</v>
      </c>
    </row>
    <row r="212" spans="1:5">
      <c r="A212" s="29" t="s">
        <v>5094</v>
      </c>
      <c r="B212" s="29">
        <v>20130331</v>
      </c>
      <c r="C212" s="29" t="s">
        <v>96</v>
      </c>
      <c r="D212" s="2" t="s">
        <v>7</v>
      </c>
      <c r="E212" s="3">
        <v>1</v>
      </c>
    </row>
    <row r="213" spans="1:5">
      <c r="A213" s="29" t="s">
        <v>5094</v>
      </c>
      <c r="B213" s="29">
        <v>20130332</v>
      </c>
      <c r="C213" s="29" t="s">
        <v>96</v>
      </c>
      <c r="D213" s="2" t="s">
        <v>7</v>
      </c>
      <c r="E213" s="3">
        <v>1</v>
      </c>
    </row>
    <row r="214" spans="1:5">
      <c r="A214" s="29" t="s">
        <v>5094</v>
      </c>
      <c r="B214" s="29">
        <v>20130333</v>
      </c>
      <c r="C214" s="29" t="s">
        <v>96</v>
      </c>
      <c r="D214" s="2" t="s">
        <v>7</v>
      </c>
      <c r="E214" s="3">
        <v>1</v>
      </c>
    </row>
    <row r="215" spans="1:5">
      <c r="A215" s="29" t="s">
        <v>5094</v>
      </c>
      <c r="B215" s="29">
        <v>20130334</v>
      </c>
      <c r="C215" s="29" t="s">
        <v>96</v>
      </c>
      <c r="D215" s="2" t="s">
        <v>7</v>
      </c>
      <c r="E215" s="3">
        <v>1</v>
      </c>
    </row>
    <row r="216" spans="1:5">
      <c r="A216" s="29" t="s">
        <v>5094</v>
      </c>
      <c r="B216" s="29">
        <v>20130335</v>
      </c>
      <c r="C216" s="29" t="s">
        <v>96</v>
      </c>
      <c r="D216" s="2" t="s">
        <v>7</v>
      </c>
      <c r="E216" s="3">
        <v>1</v>
      </c>
    </row>
    <row r="217" spans="1:5">
      <c r="A217" s="29" t="s">
        <v>5094</v>
      </c>
      <c r="B217" s="29">
        <v>20130336</v>
      </c>
      <c r="C217" s="29" t="s">
        <v>96</v>
      </c>
      <c r="D217" s="2" t="s">
        <v>7</v>
      </c>
      <c r="E217" s="3">
        <v>1</v>
      </c>
    </row>
    <row r="218" spans="1:5">
      <c r="A218" s="29" t="s">
        <v>5094</v>
      </c>
      <c r="B218" s="29">
        <v>20130337</v>
      </c>
      <c r="C218" s="29" t="s">
        <v>96</v>
      </c>
      <c r="D218" s="2" t="s">
        <v>7</v>
      </c>
      <c r="E218" s="3">
        <v>1</v>
      </c>
    </row>
    <row r="219" spans="1:5">
      <c r="A219" s="29" t="s">
        <v>5094</v>
      </c>
      <c r="B219" s="29">
        <v>20130338</v>
      </c>
      <c r="C219" s="29" t="s">
        <v>96</v>
      </c>
      <c r="D219" s="2" t="s">
        <v>7</v>
      </c>
      <c r="E219" s="3">
        <v>1</v>
      </c>
    </row>
    <row r="220" spans="1:5">
      <c r="A220" s="29" t="s">
        <v>5094</v>
      </c>
      <c r="B220" s="29">
        <v>20140810</v>
      </c>
      <c r="C220" s="29" t="s">
        <v>96</v>
      </c>
      <c r="D220" s="2" t="s">
        <v>7</v>
      </c>
      <c r="E220" s="3">
        <v>1</v>
      </c>
    </row>
    <row r="221" spans="1:5">
      <c r="A221" s="29" t="s">
        <v>5094</v>
      </c>
      <c r="B221" s="29">
        <v>20140811</v>
      </c>
      <c r="C221" s="29" t="s">
        <v>96</v>
      </c>
      <c r="D221" s="2" t="s">
        <v>7</v>
      </c>
      <c r="E221" s="3">
        <v>1</v>
      </c>
    </row>
    <row r="222" spans="1:5">
      <c r="A222" s="29" t="s">
        <v>5094</v>
      </c>
      <c r="B222" s="29">
        <v>20140812</v>
      </c>
      <c r="C222" s="29" t="s">
        <v>96</v>
      </c>
      <c r="D222" s="2" t="s">
        <v>7</v>
      </c>
      <c r="E222" s="3">
        <v>1</v>
      </c>
    </row>
    <row r="223" spans="1:5">
      <c r="A223" s="29" t="s">
        <v>5094</v>
      </c>
      <c r="B223" s="29">
        <v>20140813</v>
      </c>
      <c r="C223" s="29" t="s">
        <v>96</v>
      </c>
      <c r="D223" s="2" t="s">
        <v>7</v>
      </c>
      <c r="E223" s="3">
        <v>1</v>
      </c>
    </row>
    <row r="224" spans="1:5">
      <c r="A224" s="29" t="s">
        <v>5094</v>
      </c>
      <c r="B224" s="29">
        <v>20140814</v>
      </c>
      <c r="C224" s="29" t="s">
        <v>96</v>
      </c>
      <c r="D224" s="2" t="s">
        <v>7</v>
      </c>
      <c r="E224" s="3">
        <v>1</v>
      </c>
    </row>
    <row r="225" spans="1:5">
      <c r="A225" s="29" t="s">
        <v>5094</v>
      </c>
      <c r="B225" s="29">
        <v>20140815</v>
      </c>
      <c r="C225" s="29" t="s">
        <v>96</v>
      </c>
      <c r="D225" s="2" t="s">
        <v>7</v>
      </c>
      <c r="E225" s="3">
        <v>1</v>
      </c>
    </row>
    <row r="226" spans="1:5">
      <c r="A226" s="29" t="s">
        <v>5094</v>
      </c>
      <c r="B226" s="29">
        <v>20140816</v>
      </c>
      <c r="C226" s="29" t="s">
        <v>96</v>
      </c>
      <c r="D226" s="2" t="s">
        <v>7</v>
      </c>
      <c r="E226" s="3">
        <v>1</v>
      </c>
    </row>
    <row r="227" spans="1:5">
      <c r="A227" s="29" t="s">
        <v>5094</v>
      </c>
      <c r="B227" s="29">
        <v>20140817</v>
      </c>
      <c r="C227" s="29" t="s">
        <v>96</v>
      </c>
      <c r="D227" s="2" t="s">
        <v>7</v>
      </c>
      <c r="E227" s="3">
        <v>1</v>
      </c>
    </row>
    <row r="228" spans="1:5">
      <c r="A228" s="29" t="s">
        <v>5094</v>
      </c>
      <c r="B228" s="29">
        <v>20141052</v>
      </c>
      <c r="C228" s="29" t="s">
        <v>121</v>
      </c>
      <c r="D228" s="2" t="s">
        <v>7</v>
      </c>
      <c r="E228" s="3">
        <v>1</v>
      </c>
    </row>
    <row r="229" spans="1:5">
      <c r="A229" s="29" t="s">
        <v>5094</v>
      </c>
      <c r="B229" s="29">
        <v>20141053</v>
      </c>
      <c r="C229" s="29" t="s">
        <v>121</v>
      </c>
      <c r="D229" s="2" t="s">
        <v>7</v>
      </c>
      <c r="E229" s="3">
        <v>1</v>
      </c>
    </row>
    <row r="230" spans="1:5">
      <c r="A230" s="29" t="s">
        <v>5094</v>
      </c>
      <c r="B230" s="29">
        <v>20141059</v>
      </c>
      <c r="C230" s="29" t="s">
        <v>121</v>
      </c>
      <c r="D230" s="2" t="s">
        <v>7</v>
      </c>
      <c r="E230" s="3">
        <v>1</v>
      </c>
    </row>
    <row r="231" spans="1:5">
      <c r="A231" s="29" t="s">
        <v>5094</v>
      </c>
      <c r="B231" s="29">
        <v>20210184</v>
      </c>
      <c r="C231" s="29" t="s">
        <v>5095</v>
      </c>
      <c r="D231" s="2" t="s">
        <v>7</v>
      </c>
      <c r="E231" s="3">
        <v>1</v>
      </c>
    </row>
    <row r="232" spans="1:5">
      <c r="A232" s="29" t="s">
        <v>5094</v>
      </c>
      <c r="B232" s="29">
        <v>20210185</v>
      </c>
      <c r="C232" s="29" t="s">
        <v>5095</v>
      </c>
      <c r="D232" s="2" t="s">
        <v>7</v>
      </c>
      <c r="E232" s="3">
        <v>1</v>
      </c>
    </row>
    <row r="233" spans="1:5">
      <c r="A233" s="29" t="s">
        <v>5094</v>
      </c>
      <c r="B233" s="29">
        <v>20210186</v>
      </c>
      <c r="C233" s="29" t="s">
        <v>5095</v>
      </c>
      <c r="D233" s="2" t="s">
        <v>7</v>
      </c>
      <c r="E233" s="3">
        <v>1</v>
      </c>
    </row>
    <row r="234" spans="1:5">
      <c r="A234" s="29" t="s">
        <v>5094</v>
      </c>
      <c r="B234" s="29">
        <v>20210187</v>
      </c>
      <c r="C234" s="29" t="s">
        <v>5095</v>
      </c>
      <c r="D234" s="2" t="s">
        <v>7</v>
      </c>
      <c r="E234" s="3">
        <v>1</v>
      </c>
    </row>
    <row r="235" spans="1:5">
      <c r="A235" s="29" t="s">
        <v>5094</v>
      </c>
      <c r="B235" s="29">
        <v>20210188</v>
      </c>
      <c r="C235" s="29" t="s">
        <v>5095</v>
      </c>
      <c r="D235" s="2" t="s">
        <v>7</v>
      </c>
      <c r="E235" s="3">
        <v>1</v>
      </c>
    </row>
    <row r="236" spans="1:5">
      <c r="A236" s="29" t="s">
        <v>5094</v>
      </c>
      <c r="B236" s="29">
        <v>20210189</v>
      </c>
      <c r="C236" s="29" t="s">
        <v>5095</v>
      </c>
      <c r="D236" s="2" t="s">
        <v>7</v>
      </c>
      <c r="E236" s="3">
        <v>1</v>
      </c>
    </row>
    <row r="237" spans="1:5">
      <c r="A237" s="29" t="s">
        <v>5094</v>
      </c>
      <c r="B237" s="29">
        <v>20210190</v>
      </c>
      <c r="C237" s="29" t="s">
        <v>5095</v>
      </c>
      <c r="D237" s="2" t="s">
        <v>7</v>
      </c>
      <c r="E237" s="3">
        <v>1</v>
      </c>
    </row>
    <row r="238" spans="1:5">
      <c r="A238" s="29" t="s">
        <v>5094</v>
      </c>
      <c r="B238" s="29">
        <v>20210191</v>
      </c>
      <c r="C238" s="29" t="s">
        <v>5095</v>
      </c>
      <c r="D238" s="2" t="s">
        <v>7</v>
      </c>
      <c r="E238" s="3">
        <v>1</v>
      </c>
    </row>
    <row r="239" spans="1:5">
      <c r="A239" s="29" t="s">
        <v>5094</v>
      </c>
      <c r="B239" s="29">
        <v>20210192</v>
      </c>
      <c r="C239" s="29" t="s">
        <v>5095</v>
      </c>
      <c r="D239" s="2" t="s">
        <v>7</v>
      </c>
      <c r="E239" s="3">
        <v>1</v>
      </c>
    </row>
    <row r="240" spans="1:5">
      <c r="A240" s="29" t="s">
        <v>5094</v>
      </c>
      <c r="B240" s="29">
        <v>20210193</v>
      </c>
      <c r="C240" s="29" t="s">
        <v>5095</v>
      </c>
      <c r="D240" s="2" t="s">
        <v>7</v>
      </c>
      <c r="E240" s="3">
        <v>1</v>
      </c>
    </row>
    <row r="241" spans="1:5">
      <c r="A241" s="29" t="s">
        <v>5094</v>
      </c>
      <c r="B241" s="29">
        <v>20210194</v>
      </c>
      <c r="C241" s="29" t="s">
        <v>5095</v>
      </c>
      <c r="D241" s="2" t="s">
        <v>7</v>
      </c>
      <c r="E241" s="3">
        <v>1</v>
      </c>
    </row>
    <row r="242" spans="1:5">
      <c r="A242" s="29" t="s">
        <v>5094</v>
      </c>
      <c r="B242" s="29">
        <v>20210195</v>
      </c>
      <c r="C242" s="29" t="s">
        <v>5095</v>
      </c>
      <c r="D242" s="2" t="s">
        <v>7</v>
      </c>
      <c r="E242" s="3">
        <v>1</v>
      </c>
    </row>
    <row r="243" spans="1:5">
      <c r="A243" s="29" t="s">
        <v>5094</v>
      </c>
      <c r="B243" s="29">
        <v>20210196</v>
      </c>
      <c r="C243" s="29" t="s">
        <v>5095</v>
      </c>
      <c r="D243" s="2" t="s">
        <v>7</v>
      </c>
      <c r="E243" s="3">
        <v>1</v>
      </c>
    </row>
    <row r="244" spans="1:5">
      <c r="A244" s="29" t="s">
        <v>5094</v>
      </c>
      <c r="B244" s="29">
        <v>20210197</v>
      </c>
      <c r="C244" s="29" t="s">
        <v>5095</v>
      </c>
      <c r="D244" s="2" t="s">
        <v>7</v>
      </c>
      <c r="E244" s="3">
        <v>1</v>
      </c>
    </row>
    <row r="245" spans="1:5">
      <c r="A245" s="29" t="s">
        <v>5094</v>
      </c>
      <c r="B245" s="29">
        <v>20210198</v>
      </c>
      <c r="C245" s="29" t="s">
        <v>5095</v>
      </c>
      <c r="D245" s="2" t="s">
        <v>7</v>
      </c>
      <c r="E245" s="3">
        <v>1</v>
      </c>
    </row>
    <row r="246" spans="1:5">
      <c r="A246" s="29" t="s">
        <v>5094</v>
      </c>
      <c r="B246" s="29">
        <v>20210199</v>
      </c>
      <c r="C246" s="29" t="s">
        <v>5095</v>
      </c>
      <c r="D246" s="2" t="s">
        <v>7</v>
      </c>
      <c r="E246" s="3">
        <v>1</v>
      </c>
    </row>
    <row r="247" spans="1:5">
      <c r="A247" s="29" t="s">
        <v>5094</v>
      </c>
      <c r="B247" s="29">
        <v>20210200</v>
      </c>
      <c r="C247" s="29" t="s">
        <v>5095</v>
      </c>
      <c r="D247" s="2" t="s">
        <v>7</v>
      </c>
      <c r="E247" s="3">
        <v>1</v>
      </c>
    </row>
    <row r="248" spans="1:5">
      <c r="A248" s="29" t="s">
        <v>5094</v>
      </c>
      <c r="B248" s="29">
        <v>20210201</v>
      </c>
      <c r="C248" s="29" t="s">
        <v>5095</v>
      </c>
      <c r="D248" s="2" t="s">
        <v>7</v>
      </c>
      <c r="E248" s="3">
        <v>1</v>
      </c>
    </row>
    <row r="249" spans="1:5">
      <c r="A249" s="29" t="s">
        <v>5094</v>
      </c>
      <c r="B249" s="29">
        <v>20210202</v>
      </c>
      <c r="C249" s="29" t="s">
        <v>5095</v>
      </c>
      <c r="D249" s="2" t="s">
        <v>7</v>
      </c>
      <c r="E249" s="3">
        <v>1</v>
      </c>
    </row>
    <row r="250" spans="1:5">
      <c r="A250" s="29" t="s">
        <v>5094</v>
      </c>
      <c r="B250" s="29">
        <v>20210203</v>
      </c>
      <c r="C250" s="29" t="s">
        <v>5095</v>
      </c>
      <c r="D250" s="2" t="s">
        <v>7</v>
      </c>
      <c r="E250" s="3">
        <v>1</v>
      </c>
    </row>
    <row r="251" spans="1:5">
      <c r="A251" s="29" t="s">
        <v>5094</v>
      </c>
      <c r="B251" s="29">
        <v>20210204</v>
      </c>
      <c r="C251" s="29" t="s">
        <v>5095</v>
      </c>
      <c r="D251" s="2" t="s">
        <v>7</v>
      </c>
      <c r="E251" s="3">
        <v>1</v>
      </c>
    </row>
    <row r="252" spans="1:5">
      <c r="A252" s="29" t="s">
        <v>5094</v>
      </c>
      <c r="B252" s="29">
        <v>20210205</v>
      </c>
      <c r="C252" s="29" t="s">
        <v>5095</v>
      </c>
      <c r="D252" s="2" t="s">
        <v>7</v>
      </c>
      <c r="E252" s="3">
        <v>1</v>
      </c>
    </row>
    <row r="253" spans="1:5">
      <c r="A253" s="29" t="s">
        <v>5094</v>
      </c>
      <c r="B253" s="29">
        <v>20210206</v>
      </c>
      <c r="C253" s="29" t="s">
        <v>5095</v>
      </c>
      <c r="D253" s="2" t="s">
        <v>7</v>
      </c>
      <c r="E253" s="3">
        <v>1</v>
      </c>
    </row>
    <row r="254" spans="1:5">
      <c r="A254" s="29" t="s">
        <v>5094</v>
      </c>
      <c r="B254" s="29">
        <v>20210207</v>
      </c>
      <c r="C254" s="29" t="s">
        <v>5095</v>
      </c>
      <c r="D254" s="2" t="s">
        <v>7</v>
      </c>
      <c r="E254" s="3">
        <v>1</v>
      </c>
    </row>
    <row r="255" spans="1:5">
      <c r="A255" s="29" t="s">
        <v>5094</v>
      </c>
      <c r="B255" s="29">
        <v>20210208</v>
      </c>
      <c r="C255" s="29" t="s">
        <v>5095</v>
      </c>
      <c r="D255" s="2" t="s">
        <v>7</v>
      </c>
      <c r="E255" s="3">
        <v>1</v>
      </c>
    </row>
    <row r="256" spans="1:5">
      <c r="A256" s="29" t="s">
        <v>5094</v>
      </c>
      <c r="B256" s="29">
        <v>20210209</v>
      </c>
      <c r="C256" s="29" t="s">
        <v>5095</v>
      </c>
      <c r="D256" s="2" t="s">
        <v>7</v>
      </c>
      <c r="E256" s="3">
        <v>1</v>
      </c>
    </row>
    <row r="257" spans="1:5">
      <c r="A257" s="29" t="s">
        <v>5094</v>
      </c>
      <c r="B257" s="29">
        <v>20210210</v>
      </c>
      <c r="C257" s="29" t="s">
        <v>5095</v>
      </c>
      <c r="D257" s="2" t="s">
        <v>7</v>
      </c>
      <c r="E257" s="3">
        <v>1</v>
      </c>
    </row>
    <row r="258" spans="1:5">
      <c r="A258" s="29" t="s">
        <v>5094</v>
      </c>
      <c r="B258" s="29">
        <v>20210211</v>
      </c>
      <c r="C258" s="29" t="s">
        <v>5095</v>
      </c>
      <c r="D258" s="2" t="s">
        <v>7</v>
      </c>
      <c r="E258" s="3">
        <v>1</v>
      </c>
    </row>
    <row r="259" spans="1:5">
      <c r="A259" s="29" t="s">
        <v>5094</v>
      </c>
      <c r="B259" s="29">
        <v>20210212</v>
      </c>
      <c r="C259" s="29" t="s">
        <v>5095</v>
      </c>
      <c r="D259" s="2" t="s">
        <v>7</v>
      </c>
      <c r="E259" s="3">
        <v>1</v>
      </c>
    </row>
    <row r="260" spans="1:5">
      <c r="A260" s="29" t="s">
        <v>5094</v>
      </c>
      <c r="B260" s="29">
        <v>20210213</v>
      </c>
      <c r="C260" s="29" t="s">
        <v>5095</v>
      </c>
      <c r="D260" s="2" t="s">
        <v>7</v>
      </c>
      <c r="E260" s="3">
        <v>1</v>
      </c>
    </row>
    <row r="261" spans="1:5">
      <c r="A261" s="29" t="s">
        <v>5094</v>
      </c>
      <c r="B261" s="29">
        <v>20210214</v>
      </c>
      <c r="C261" s="29" t="s">
        <v>5095</v>
      </c>
      <c r="D261" s="2" t="s">
        <v>7</v>
      </c>
      <c r="E261" s="3">
        <v>1</v>
      </c>
    </row>
    <row r="262" spans="1:5">
      <c r="A262" s="29" t="s">
        <v>5094</v>
      </c>
      <c r="B262" s="29">
        <v>20210215</v>
      </c>
      <c r="C262" s="29" t="s">
        <v>5095</v>
      </c>
      <c r="D262" s="2" t="s">
        <v>7</v>
      </c>
      <c r="E262" s="3">
        <v>1</v>
      </c>
    </row>
    <row r="263" spans="1:5">
      <c r="A263" s="29" t="s">
        <v>5094</v>
      </c>
      <c r="B263" s="29">
        <v>20210216</v>
      </c>
      <c r="C263" s="29" t="s">
        <v>5095</v>
      </c>
      <c r="D263" s="2" t="s">
        <v>7</v>
      </c>
      <c r="E263" s="3">
        <v>1</v>
      </c>
    </row>
    <row r="264" spans="1:5">
      <c r="A264" s="29" t="s">
        <v>5094</v>
      </c>
      <c r="B264" s="29">
        <v>20210217</v>
      </c>
      <c r="C264" s="29" t="s">
        <v>5095</v>
      </c>
      <c r="D264" s="2" t="s">
        <v>7</v>
      </c>
      <c r="E264" s="3">
        <v>1</v>
      </c>
    </row>
    <row r="265" spans="1:5">
      <c r="A265" s="29" t="s">
        <v>5094</v>
      </c>
      <c r="B265" s="29">
        <v>20210218</v>
      </c>
      <c r="C265" s="29" t="s">
        <v>5095</v>
      </c>
      <c r="D265" s="2" t="s">
        <v>7</v>
      </c>
      <c r="E265" s="3">
        <v>1</v>
      </c>
    </row>
    <row r="266" spans="1:5">
      <c r="A266" s="29" t="s">
        <v>5094</v>
      </c>
      <c r="B266" s="29">
        <v>20210219</v>
      </c>
      <c r="C266" s="29" t="s">
        <v>5095</v>
      </c>
      <c r="D266" s="2" t="s">
        <v>7</v>
      </c>
      <c r="E266" s="3">
        <v>1</v>
      </c>
    </row>
    <row r="267" spans="1:5">
      <c r="A267" s="29" t="s">
        <v>5094</v>
      </c>
      <c r="B267" s="29">
        <v>20210220</v>
      </c>
      <c r="C267" s="29" t="s">
        <v>5095</v>
      </c>
      <c r="D267" s="2" t="s">
        <v>7</v>
      </c>
      <c r="E267" s="3">
        <v>1</v>
      </c>
    </row>
    <row r="268" spans="1:5">
      <c r="A268" s="29" t="s">
        <v>5094</v>
      </c>
      <c r="B268" s="29">
        <v>20210221</v>
      </c>
      <c r="C268" s="29" t="s">
        <v>5095</v>
      </c>
      <c r="D268" s="2" t="s">
        <v>7</v>
      </c>
      <c r="E268" s="3">
        <v>1</v>
      </c>
    </row>
    <row r="269" spans="1:5">
      <c r="A269" s="29" t="s">
        <v>5094</v>
      </c>
      <c r="B269" s="29">
        <v>20210222</v>
      </c>
      <c r="C269" s="29" t="s">
        <v>5095</v>
      </c>
      <c r="D269" s="2" t="s">
        <v>7</v>
      </c>
      <c r="E269" s="3">
        <v>1</v>
      </c>
    </row>
    <row r="270" spans="1:5">
      <c r="A270" s="29" t="s">
        <v>5094</v>
      </c>
      <c r="B270" s="29">
        <v>20210223</v>
      </c>
      <c r="C270" s="29" t="s">
        <v>5095</v>
      </c>
      <c r="D270" s="2" t="s">
        <v>7</v>
      </c>
      <c r="E270" s="3">
        <v>1</v>
      </c>
    </row>
    <row r="271" spans="1:5">
      <c r="A271" s="29" t="s">
        <v>5094</v>
      </c>
      <c r="B271" s="29">
        <v>20210224</v>
      </c>
      <c r="C271" s="29" t="s">
        <v>5095</v>
      </c>
      <c r="D271" s="2" t="s">
        <v>7</v>
      </c>
      <c r="E271" s="3">
        <v>1</v>
      </c>
    </row>
    <row r="272" spans="1:5">
      <c r="A272" s="29" t="s">
        <v>5094</v>
      </c>
      <c r="B272" s="29">
        <v>20210225</v>
      </c>
      <c r="C272" s="29" t="s">
        <v>5095</v>
      </c>
      <c r="D272" s="2" t="s">
        <v>7</v>
      </c>
      <c r="E272" s="3">
        <v>1</v>
      </c>
    </row>
    <row r="273" spans="1:5">
      <c r="A273" s="29" t="s">
        <v>5094</v>
      </c>
      <c r="B273" s="29">
        <v>20210226</v>
      </c>
      <c r="C273" s="29" t="s">
        <v>5095</v>
      </c>
      <c r="D273" s="2" t="s">
        <v>7</v>
      </c>
      <c r="E273" s="3">
        <v>1</v>
      </c>
    </row>
    <row r="274" spans="1:5">
      <c r="A274" s="29" t="s">
        <v>5094</v>
      </c>
      <c r="B274" s="29">
        <v>20210227</v>
      </c>
      <c r="C274" s="29" t="s">
        <v>5095</v>
      </c>
      <c r="D274" s="2" t="s">
        <v>7</v>
      </c>
      <c r="E274" s="3">
        <v>1</v>
      </c>
    </row>
    <row r="275" spans="1:5">
      <c r="A275" s="29" t="s">
        <v>5094</v>
      </c>
      <c r="B275" s="29">
        <v>20210228</v>
      </c>
      <c r="C275" s="29" t="s">
        <v>5095</v>
      </c>
      <c r="D275" s="2" t="s">
        <v>7</v>
      </c>
      <c r="E275" s="3">
        <v>1</v>
      </c>
    </row>
    <row r="276" spans="1:5">
      <c r="A276" s="29" t="s">
        <v>5094</v>
      </c>
      <c r="B276" s="29">
        <v>20210229</v>
      </c>
      <c r="C276" s="29" t="s">
        <v>5095</v>
      </c>
      <c r="D276" s="2" t="s">
        <v>7</v>
      </c>
      <c r="E276" s="3">
        <v>1</v>
      </c>
    </row>
    <row r="277" spans="1:5">
      <c r="A277" s="29" t="s">
        <v>5094</v>
      </c>
      <c r="B277" s="29">
        <v>20210230</v>
      </c>
      <c r="C277" s="29" t="s">
        <v>5095</v>
      </c>
      <c r="D277" s="2" t="s">
        <v>7</v>
      </c>
      <c r="E277" s="3">
        <v>1</v>
      </c>
    </row>
    <row r="278" spans="1:5">
      <c r="A278" s="29" t="s">
        <v>5094</v>
      </c>
      <c r="B278" s="29">
        <v>20210231</v>
      </c>
      <c r="C278" s="29" t="s">
        <v>5095</v>
      </c>
      <c r="D278" s="2" t="s">
        <v>7</v>
      </c>
      <c r="E278" s="3">
        <v>1</v>
      </c>
    </row>
    <row r="279" spans="1:5">
      <c r="A279" s="29" t="s">
        <v>5094</v>
      </c>
      <c r="B279" s="29">
        <v>20210232</v>
      </c>
      <c r="C279" s="29" t="s">
        <v>5095</v>
      </c>
      <c r="D279" s="2" t="s">
        <v>7</v>
      </c>
      <c r="E279" s="3">
        <v>1</v>
      </c>
    </row>
    <row r="280" spans="1:5">
      <c r="A280" s="29" t="s">
        <v>5094</v>
      </c>
      <c r="B280" s="29">
        <v>20210233</v>
      </c>
      <c r="C280" s="29" t="s">
        <v>5095</v>
      </c>
      <c r="D280" s="2" t="s">
        <v>7</v>
      </c>
      <c r="E280" s="3">
        <v>1</v>
      </c>
    </row>
    <row r="281" spans="1:5">
      <c r="A281" s="29" t="s">
        <v>5094</v>
      </c>
      <c r="B281" s="29">
        <v>20210234</v>
      </c>
      <c r="C281" s="29" t="s">
        <v>5095</v>
      </c>
      <c r="D281" s="2" t="s">
        <v>7</v>
      </c>
      <c r="E281" s="3">
        <v>1</v>
      </c>
    </row>
    <row r="282" spans="1:5">
      <c r="A282" s="29" t="s">
        <v>5094</v>
      </c>
      <c r="B282" s="29">
        <v>20210235</v>
      </c>
      <c r="C282" s="29" t="s">
        <v>5095</v>
      </c>
      <c r="D282" s="2" t="s">
        <v>7</v>
      </c>
      <c r="E282" s="3">
        <v>1</v>
      </c>
    </row>
    <row r="283" spans="1:5">
      <c r="A283" s="29" t="s">
        <v>5094</v>
      </c>
      <c r="B283" s="29">
        <v>20210236</v>
      </c>
      <c r="C283" s="29" t="s">
        <v>5095</v>
      </c>
      <c r="D283" s="2" t="s">
        <v>7</v>
      </c>
      <c r="E283" s="3">
        <v>1</v>
      </c>
    </row>
    <row r="284" spans="1:5">
      <c r="A284" s="29" t="s">
        <v>5094</v>
      </c>
      <c r="B284" s="29">
        <v>20210237</v>
      </c>
      <c r="C284" s="29" t="s">
        <v>5095</v>
      </c>
      <c r="D284" s="2" t="s">
        <v>7</v>
      </c>
      <c r="E284" s="3">
        <v>1</v>
      </c>
    </row>
    <row r="285" spans="1:5">
      <c r="A285" s="29" t="s">
        <v>5094</v>
      </c>
      <c r="B285" s="29">
        <v>20210238</v>
      </c>
      <c r="C285" s="29" t="s">
        <v>5095</v>
      </c>
      <c r="D285" s="2" t="s">
        <v>7</v>
      </c>
      <c r="E285" s="3">
        <v>1</v>
      </c>
    </row>
    <row r="286" spans="1:5">
      <c r="A286" s="29" t="s">
        <v>5094</v>
      </c>
      <c r="B286" s="29">
        <v>20211064</v>
      </c>
      <c r="C286" s="29" t="s">
        <v>96</v>
      </c>
      <c r="D286" s="2" t="s">
        <v>7</v>
      </c>
      <c r="E286" s="3">
        <v>1</v>
      </c>
    </row>
    <row r="287" spans="1:5">
      <c r="A287" s="29" t="s">
        <v>5094</v>
      </c>
      <c r="B287" s="29">
        <v>20211065</v>
      </c>
      <c r="C287" s="29" t="s">
        <v>96</v>
      </c>
      <c r="D287" s="2" t="s">
        <v>7</v>
      </c>
      <c r="E287" s="3">
        <v>1</v>
      </c>
    </row>
    <row r="288" spans="1:5">
      <c r="A288" s="29" t="s">
        <v>5094</v>
      </c>
      <c r="B288" s="29">
        <v>20211066</v>
      </c>
      <c r="C288" s="29" t="s">
        <v>96</v>
      </c>
      <c r="D288" s="2" t="s">
        <v>7</v>
      </c>
      <c r="E288" s="3">
        <v>1</v>
      </c>
    </row>
    <row r="289" spans="1:5">
      <c r="A289" s="29" t="s">
        <v>5094</v>
      </c>
      <c r="B289" s="29">
        <v>20211067</v>
      </c>
      <c r="C289" s="29" t="s">
        <v>96</v>
      </c>
      <c r="D289" s="2" t="s">
        <v>7</v>
      </c>
      <c r="E289" s="3">
        <v>1</v>
      </c>
    </row>
    <row r="290" spans="1:5">
      <c r="A290" s="29" t="s">
        <v>5094</v>
      </c>
      <c r="B290" s="29">
        <v>20211068</v>
      </c>
      <c r="C290" s="29" t="s">
        <v>96</v>
      </c>
      <c r="D290" s="2" t="s">
        <v>7</v>
      </c>
      <c r="E290" s="3">
        <v>1</v>
      </c>
    </row>
    <row r="291" spans="1:5">
      <c r="A291" s="29" t="s">
        <v>5094</v>
      </c>
      <c r="B291" s="29">
        <v>20211069</v>
      </c>
      <c r="C291" s="29" t="s">
        <v>96</v>
      </c>
      <c r="D291" s="2" t="s">
        <v>7</v>
      </c>
      <c r="E291" s="3">
        <v>1</v>
      </c>
    </row>
    <row r="292" spans="1:5">
      <c r="A292" s="29" t="s">
        <v>5094</v>
      </c>
      <c r="B292" s="29">
        <v>20211070</v>
      </c>
      <c r="C292" s="29" t="s">
        <v>96</v>
      </c>
      <c r="D292" s="2" t="s">
        <v>7</v>
      </c>
      <c r="E292" s="3">
        <v>1</v>
      </c>
    </row>
    <row r="293" spans="1:5">
      <c r="A293" s="29" t="s">
        <v>5094</v>
      </c>
      <c r="B293" s="29">
        <v>20211071</v>
      </c>
      <c r="C293" s="29" t="s">
        <v>96</v>
      </c>
      <c r="D293" s="2" t="s">
        <v>7</v>
      </c>
      <c r="E293" s="3">
        <v>1</v>
      </c>
    </row>
    <row r="294" spans="1:5">
      <c r="A294" s="29" t="s">
        <v>5094</v>
      </c>
      <c r="B294" s="29">
        <v>20211072</v>
      </c>
      <c r="C294" s="29" t="s">
        <v>96</v>
      </c>
      <c r="D294" s="2" t="s">
        <v>7</v>
      </c>
      <c r="E294" s="3">
        <v>1</v>
      </c>
    </row>
    <row r="295" spans="1:5">
      <c r="A295" s="29" t="s">
        <v>5094</v>
      </c>
      <c r="B295" s="29">
        <v>20211073</v>
      </c>
      <c r="C295" s="29" t="s">
        <v>96</v>
      </c>
      <c r="D295" s="2" t="s">
        <v>7</v>
      </c>
      <c r="E295" s="3">
        <v>1</v>
      </c>
    </row>
    <row r="296" spans="1:5">
      <c r="A296" s="29" t="s">
        <v>5094</v>
      </c>
      <c r="B296" s="29">
        <v>20211074</v>
      </c>
      <c r="C296" s="29" t="s">
        <v>96</v>
      </c>
      <c r="D296" s="2" t="s">
        <v>7</v>
      </c>
      <c r="E296" s="3">
        <v>1</v>
      </c>
    </row>
    <row r="297" spans="1:5">
      <c r="A297" s="29" t="s">
        <v>5094</v>
      </c>
      <c r="B297" s="29">
        <v>20211075</v>
      </c>
      <c r="C297" s="29" t="s">
        <v>96</v>
      </c>
      <c r="D297" s="2" t="s">
        <v>7</v>
      </c>
      <c r="E297" s="3">
        <v>1</v>
      </c>
    </row>
    <row r="298" spans="1:5">
      <c r="A298" s="29" t="s">
        <v>5094</v>
      </c>
      <c r="B298" s="29">
        <v>20211076</v>
      </c>
      <c r="C298" s="29" t="s">
        <v>96</v>
      </c>
      <c r="D298" s="2" t="s">
        <v>7</v>
      </c>
      <c r="E298" s="3">
        <v>1</v>
      </c>
    </row>
    <row r="299" spans="1:5">
      <c r="A299" s="29" t="s">
        <v>5094</v>
      </c>
      <c r="B299" s="29">
        <v>20211077</v>
      </c>
      <c r="C299" s="29" t="s">
        <v>96</v>
      </c>
      <c r="D299" s="2" t="s">
        <v>7</v>
      </c>
      <c r="E299" s="3">
        <v>1</v>
      </c>
    </row>
    <row r="300" spans="1:5">
      <c r="A300" s="29" t="s">
        <v>5094</v>
      </c>
      <c r="B300" s="29">
        <v>20211078</v>
      </c>
      <c r="C300" s="29" t="s">
        <v>96</v>
      </c>
      <c r="D300" s="2" t="s">
        <v>7</v>
      </c>
      <c r="E300" s="3">
        <v>1</v>
      </c>
    </row>
    <row r="301" spans="1:5">
      <c r="A301" s="29" t="s">
        <v>5094</v>
      </c>
      <c r="B301" s="29">
        <v>20211079</v>
      </c>
      <c r="C301" s="29" t="s">
        <v>96</v>
      </c>
      <c r="D301" s="2" t="s">
        <v>7</v>
      </c>
      <c r="E301" s="3">
        <v>1</v>
      </c>
    </row>
    <row r="302" spans="1:5">
      <c r="A302" s="29" t="s">
        <v>5094</v>
      </c>
      <c r="B302" s="29">
        <v>20211080</v>
      </c>
      <c r="C302" s="29" t="s">
        <v>96</v>
      </c>
      <c r="D302" s="2" t="s">
        <v>7</v>
      </c>
      <c r="E302" s="3">
        <v>1</v>
      </c>
    </row>
    <row r="303" spans="1:5">
      <c r="A303" s="29" t="s">
        <v>5094</v>
      </c>
      <c r="B303" s="29">
        <v>20211081</v>
      </c>
      <c r="C303" s="29" t="s">
        <v>96</v>
      </c>
      <c r="D303" s="2" t="s">
        <v>7</v>
      </c>
      <c r="E303" s="3">
        <v>1</v>
      </c>
    </row>
    <row r="304" spans="1:5">
      <c r="A304" s="29" t="s">
        <v>5094</v>
      </c>
      <c r="B304" s="29">
        <v>20211082</v>
      </c>
      <c r="C304" s="29" t="s">
        <v>96</v>
      </c>
      <c r="D304" s="2" t="s">
        <v>7</v>
      </c>
      <c r="E304" s="3">
        <v>1</v>
      </c>
    </row>
    <row r="305" spans="1:5">
      <c r="A305" s="29" t="s">
        <v>5094</v>
      </c>
      <c r="B305" s="29">
        <v>20211083</v>
      </c>
      <c r="C305" s="29" t="s">
        <v>96</v>
      </c>
      <c r="D305" s="2" t="s">
        <v>7</v>
      </c>
      <c r="E305" s="3">
        <v>1</v>
      </c>
    </row>
    <row r="306" spans="1:5">
      <c r="A306" s="29" t="s">
        <v>5094</v>
      </c>
      <c r="B306" s="29">
        <v>20211084</v>
      </c>
      <c r="C306" s="29" t="s">
        <v>96</v>
      </c>
      <c r="D306" s="2" t="s">
        <v>7</v>
      </c>
      <c r="E306" s="3">
        <v>1</v>
      </c>
    </row>
    <row r="307" spans="1:5">
      <c r="A307" s="29" t="s">
        <v>5094</v>
      </c>
      <c r="B307" s="29">
        <v>20211085</v>
      </c>
      <c r="C307" s="29" t="s">
        <v>96</v>
      </c>
      <c r="D307" s="2" t="s">
        <v>7</v>
      </c>
      <c r="E307" s="3">
        <v>1</v>
      </c>
    </row>
    <row r="308" spans="1:5">
      <c r="A308" s="29" t="s">
        <v>5094</v>
      </c>
      <c r="B308" s="29">
        <v>20211086</v>
      </c>
      <c r="C308" s="29" t="s">
        <v>96</v>
      </c>
      <c r="D308" s="2" t="s">
        <v>7</v>
      </c>
      <c r="E308" s="3">
        <v>1</v>
      </c>
    </row>
    <row r="309" spans="1:5">
      <c r="A309" s="29" t="s">
        <v>5094</v>
      </c>
      <c r="B309" s="29">
        <v>20211087</v>
      </c>
      <c r="C309" s="29" t="s">
        <v>96</v>
      </c>
      <c r="D309" s="2" t="s">
        <v>7</v>
      </c>
      <c r="E309" s="3">
        <v>1</v>
      </c>
    </row>
    <row r="310" spans="1:5">
      <c r="A310" s="29" t="s">
        <v>5094</v>
      </c>
      <c r="B310" s="29">
        <v>20211088</v>
      </c>
      <c r="C310" s="29" t="s">
        <v>96</v>
      </c>
      <c r="D310" s="2" t="s">
        <v>7</v>
      </c>
      <c r="E310" s="3">
        <v>1</v>
      </c>
    </row>
    <row r="311" spans="1:5">
      <c r="A311" s="29" t="s">
        <v>5094</v>
      </c>
      <c r="B311" s="29">
        <v>20211089</v>
      </c>
      <c r="C311" s="29" t="s">
        <v>96</v>
      </c>
      <c r="D311" s="2" t="s">
        <v>7</v>
      </c>
      <c r="E311" s="3">
        <v>1</v>
      </c>
    </row>
    <row r="312" spans="1:5">
      <c r="A312" s="29" t="s">
        <v>5094</v>
      </c>
      <c r="B312" s="29">
        <v>20211090</v>
      </c>
      <c r="C312" s="29" t="s">
        <v>96</v>
      </c>
      <c r="D312" s="2" t="s">
        <v>7</v>
      </c>
      <c r="E312" s="3">
        <v>1</v>
      </c>
    </row>
    <row r="313" spans="1:5">
      <c r="A313" s="29" t="s">
        <v>5094</v>
      </c>
      <c r="B313" s="29">
        <v>20211091</v>
      </c>
      <c r="C313" s="29" t="s">
        <v>96</v>
      </c>
      <c r="D313" s="2" t="s">
        <v>7</v>
      </c>
      <c r="E313" s="3">
        <v>1</v>
      </c>
    </row>
    <row r="314" spans="1:5">
      <c r="A314" s="29" t="s">
        <v>5094</v>
      </c>
      <c r="B314" s="29">
        <v>20211092</v>
      </c>
      <c r="C314" s="29" t="s">
        <v>96</v>
      </c>
      <c r="D314" s="2" t="s">
        <v>7</v>
      </c>
      <c r="E314" s="3">
        <v>1</v>
      </c>
    </row>
    <row r="315" spans="1:5">
      <c r="A315" s="29" t="s">
        <v>5094</v>
      </c>
      <c r="B315" s="29">
        <v>20211093</v>
      </c>
      <c r="C315" s="29" t="s">
        <v>96</v>
      </c>
      <c r="D315" s="2" t="s">
        <v>7</v>
      </c>
      <c r="E315" s="3">
        <v>1</v>
      </c>
    </row>
    <row r="316" spans="1:5">
      <c r="A316" s="29" t="s">
        <v>5094</v>
      </c>
      <c r="B316" s="29">
        <v>20211094</v>
      </c>
      <c r="C316" s="29" t="s">
        <v>96</v>
      </c>
      <c r="D316" s="2" t="s">
        <v>7</v>
      </c>
      <c r="E316" s="3">
        <v>1</v>
      </c>
    </row>
    <row r="317" spans="1:5">
      <c r="A317" s="29" t="s">
        <v>5094</v>
      </c>
      <c r="B317" s="29">
        <v>20211095</v>
      </c>
      <c r="C317" s="29" t="s">
        <v>96</v>
      </c>
      <c r="D317" s="2" t="s">
        <v>7</v>
      </c>
      <c r="E317" s="3">
        <v>1</v>
      </c>
    </row>
    <row r="318" spans="1:5">
      <c r="A318" s="29" t="s">
        <v>5094</v>
      </c>
      <c r="B318" s="29">
        <v>20211096</v>
      </c>
      <c r="C318" s="29" t="s">
        <v>96</v>
      </c>
      <c r="D318" s="2" t="s">
        <v>7</v>
      </c>
      <c r="E318" s="3">
        <v>1</v>
      </c>
    </row>
    <row r="319" spans="1:5">
      <c r="A319" s="29" t="s">
        <v>5094</v>
      </c>
      <c r="B319" s="29">
        <v>20211097</v>
      </c>
      <c r="C319" s="29" t="s">
        <v>96</v>
      </c>
      <c r="D319" s="2" t="s">
        <v>7</v>
      </c>
      <c r="E319" s="3">
        <v>1</v>
      </c>
    </row>
    <row r="320" spans="1:5">
      <c r="A320" s="29" t="s">
        <v>5094</v>
      </c>
      <c r="B320" s="29">
        <v>20211098</v>
      </c>
      <c r="C320" s="29" t="s">
        <v>96</v>
      </c>
      <c r="D320" s="2" t="s">
        <v>7</v>
      </c>
      <c r="E320" s="3">
        <v>1</v>
      </c>
    </row>
    <row r="321" spans="1:5">
      <c r="A321" s="29" t="s">
        <v>5094</v>
      </c>
      <c r="B321" s="29">
        <v>20211099</v>
      </c>
      <c r="C321" s="29" t="s">
        <v>96</v>
      </c>
      <c r="D321" s="2" t="s">
        <v>7</v>
      </c>
      <c r="E321" s="3">
        <v>1</v>
      </c>
    </row>
    <row r="322" spans="1:5">
      <c r="A322" s="29" t="s">
        <v>5094</v>
      </c>
      <c r="B322" s="29">
        <v>20211100</v>
      </c>
      <c r="C322" s="29" t="s">
        <v>96</v>
      </c>
      <c r="D322" s="2" t="s">
        <v>7</v>
      </c>
      <c r="E322" s="3">
        <v>1</v>
      </c>
    </row>
    <row r="323" spans="1:5">
      <c r="A323" s="29" t="s">
        <v>5094</v>
      </c>
      <c r="B323" s="29">
        <v>20211101</v>
      </c>
      <c r="C323" s="29" t="s">
        <v>96</v>
      </c>
      <c r="D323" s="2" t="s">
        <v>7</v>
      </c>
      <c r="E323" s="3">
        <v>1</v>
      </c>
    </row>
    <row r="324" spans="1:5">
      <c r="A324" s="29" t="s">
        <v>5094</v>
      </c>
      <c r="B324" s="29">
        <v>20211102</v>
      </c>
      <c r="C324" s="29" t="s">
        <v>96</v>
      </c>
      <c r="D324" s="2" t="s">
        <v>7</v>
      </c>
      <c r="E324" s="3">
        <v>1</v>
      </c>
    </row>
    <row r="325" spans="1:5">
      <c r="A325" s="29" t="s">
        <v>5094</v>
      </c>
      <c r="B325" s="29">
        <v>20211103</v>
      </c>
      <c r="C325" s="29" t="s">
        <v>96</v>
      </c>
      <c r="D325" s="2" t="s">
        <v>7</v>
      </c>
      <c r="E325" s="3">
        <v>1</v>
      </c>
    </row>
    <row r="326" spans="1:5">
      <c r="A326" s="29" t="s">
        <v>5094</v>
      </c>
      <c r="B326" s="29">
        <v>20211104</v>
      </c>
      <c r="C326" s="29" t="s">
        <v>96</v>
      </c>
      <c r="D326" s="2" t="s">
        <v>7</v>
      </c>
      <c r="E326" s="3">
        <v>1</v>
      </c>
    </row>
    <row r="327" spans="1:5">
      <c r="A327" s="29" t="s">
        <v>5094</v>
      </c>
      <c r="B327" s="29">
        <v>20211105</v>
      </c>
      <c r="C327" s="29" t="s">
        <v>96</v>
      </c>
      <c r="D327" s="2" t="s">
        <v>7</v>
      </c>
      <c r="E327" s="3">
        <v>1</v>
      </c>
    </row>
    <row r="328" spans="1:5">
      <c r="A328" s="29" t="s">
        <v>5094</v>
      </c>
      <c r="B328" s="29">
        <v>20211106</v>
      </c>
      <c r="C328" s="29" t="s">
        <v>96</v>
      </c>
      <c r="D328" s="2" t="s">
        <v>7</v>
      </c>
      <c r="E328" s="3">
        <v>1</v>
      </c>
    </row>
    <row r="329" spans="1:5">
      <c r="A329" s="29" t="s">
        <v>5094</v>
      </c>
      <c r="B329" s="29">
        <v>20211107</v>
      </c>
      <c r="C329" s="29" t="s">
        <v>96</v>
      </c>
      <c r="D329" s="2" t="s">
        <v>7</v>
      </c>
      <c r="E329" s="3">
        <v>1</v>
      </c>
    </row>
    <row r="330" spans="1:5">
      <c r="A330" s="29" t="s">
        <v>5094</v>
      </c>
      <c r="B330" s="29">
        <v>20211108</v>
      </c>
      <c r="C330" s="29" t="s">
        <v>96</v>
      </c>
      <c r="D330" s="2" t="s">
        <v>7</v>
      </c>
      <c r="E330" s="3">
        <v>1</v>
      </c>
    </row>
    <row r="331" spans="1:5">
      <c r="A331" s="29" t="s">
        <v>5094</v>
      </c>
      <c r="B331" s="29">
        <v>20211109</v>
      </c>
      <c r="C331" s="29" t="s">
        <v>96</v>
      </c>
      <c r="D331" s="2" t="s">
        <v>7</v>
      </c>
      <c r="E331" s="3">
        <v>1</v>
      </c>
    </row>
    <row r="332" spans="1:5">
      <c r="A332" s="29" t="s">
        <v>5094</v>
      </c>
      <c r="B332" s="29">
        <v>20211110</v>
      </c>
      <c r="C332" s="29" t="s">
        <v>96</v>
      </c>
      <c r="D332" s="2" t="s">
        <v>7</v>
      </c>
      <c r="E332" s="3">
        <v>1</v>
      </c>
    </row>
    <row r="333" spans="1:5">
      <c r="A333" s="29" t="s">
        <v>5094</v>
      </c>
      <c r="B333" s="29">
        <v>20211111</v>
      </c>
      <c r="C333" s="29" t="s">
        <v>96</v>
      </c>
      <c r="D333" s="2" t="s">
        <v>7</v>
      </c>
      <c r="E333" s="3">
        <v>1</v>
      </c>
    </row>
    <row r="334" spans="1:5">
      <c r="A334" s="29" t="s">
        <v>5094</v>
      </c>
      <c r="B334" s="29">
        <v>20211112</v>
      </c>
      <c r="C334" s="29" t="s">
        <v>96</v>
      </c>
      <c r="D334" s="2" t="s">
        <v>7</v>
      </c>
      <c r="E334" s="3">
        <v>1</v>
      </c>
    </row>
    <row r="335" spans="1:5">
      <c r="A335" s="29" t="s">
        <v>5094</v>
      </c>
      <c r="B335" s="29">
        <v>20211113</v>
      </c>
      <c r="C335" s="29" t="s">
        <v>96</v>
      </c>
      <c r="D335" s="2" t="s">
        <v>7</v>
      </c>
      <c r="E335" s="3">
        <v>1</v>
      </c>
    </row>
    <row r="336" spans="1:5">
      <c r="A336" s="29" t="s">
        <v>5094</v>
      </c>
      <c r="B336" s="29">
        <v>20211114</v>
      </c>
      <c r="C336" s="29" t="s">
        <v>96</v>
      </c>
      <c r="D336" s="2" t="s">
        <v>7</v>
      </c>
      <c r="E336" s="3">
        <v>1</v>
      </c>
    </row>
    <row r="337" spans="1:5">
      <c r="A337" s="29" t="s">
        <v>5094</v>
      </c>
      <c r="B337" s="29">
        <v>20211115</v>
      </c>
      <c r="C337" s="29" t="s">
        <v>96</v>
      </c>
      <c r="D337" s="2" t="s">
        <v>7</v>
      </c>
      <c r="E337" s="3">
        <v>1</v>
      </c>
    </row>
    <row r="338" spans="1:5">
      <c r="A338" s="29" t="s">
        <v>5094</v>
      </c>
      <c r="B338" s="29">
        <v>20211116</v>
      </c>
      <c r="C338" s="29" t="s">
        <v>96</v>
      </c>
      <c r="D338" s="2" t="s">
        <v>7</v>
      </c>
      <c r="E338" s="3">
        <v>1</v>
      </c>
    </row>
    <row r="339" spans="1:5">
      <c r="A339" s="29" t="s">
        <v>5094</v>
      </c>
      <c r="B339" s="29">
        <v>20211117</v>
      </c>
      <c r="C339" s="29" t="s">
        <v>96</v>
      </c>
      <c r="D339" s="2" t="s">
        <v>7</v>
      </c>
      <c r="E339" s="3">
        <v>1</v>
      </c>
    </row>
    <row r="340" spans="1:5">
      <c r="A340" s="29" t="s">
        <v>5094</v>
      </c>
      <c r="B340" s="29">
        <v>20211118</v>
      </c>
      <c r="C340" s="29" t="s">
        <v>96</v>
      </c>
      <c r="D340" s="2" t="s">
        <v>7</v>
      </c>
      <c r="E340" s="3">
        <v>1</v>
      </c>
    </row>
    <row r="341" spans="1:5">
      <c r="A341" s="29" t="s">
        <v>5094</v>
      </c>
      <c r="B341" s="29">
        <v>20130288</v>
      </c>
      <c r="C341" s="29" t="s">
        <v>96</v>
      </c>
      <c r="D341" s="2" t="s">
        <v>7</v>
      </c>
      <c r="E341" s="3">
        <v>1</v>
      </c>
    </row>
    <row r="342" spans="1:5">
      <c r="A342" s="29" t="s">
        <v>5094</v>
      </c>
      <c r="B342" s="29">
        <v>20170894</v>
      </c>
      <c r="C342" s="29" t="s">
        <v>96</v>
      </c>
      <c r="D342" s="2" t="s">
        <v>7</v>
      </c>
      <c r="E342" s="3">
        <v>1</v>
      </c>
    </row>
    <row r="343" spans="1:5">
      <c r="A343" s="29" t="s">
        <v>5094</v>
      </c>
      <c r="B343" s="29">
        <v>20170895</v>
      </c>
      <c r="C343" s="29" t="s">
        <v>96</v>
      </c>
      <c r="D343" s="2" t="s">
        <v>7</v>
      </c>
      <c r="E343" s="3">
        <v>1</v>
      </c>
    </row>
    <row r="344" spans="1:5">
      <c r="A344" s="29" t="s">
        <v>5094</v>
      </c>
      <c r="B344" s="29">
        <v>20170896</v>
      </c>
      <c r="C344" s="29" t="s">
        <v>96</v>
      </c>
      <c r="D344" s="2" t="s">
        <v>7</v>
      </c>
      <c r="E344" s="3">
        <v>1</v>
      </c>
    </row>
    <row r="345" spans="1:5">
      <c r="A345" s="29" t="s">
        <v>5094</v>
      </c>
      <c r="B345" s="29">
        <v>20170897</v>
      </c>
      <c r="C345" s="29" t="s">
        <v>96</v>
      </c>
      <c r="D345" s="2" t="s">
        <v>7</v>
      </c>
      <c r="E345" s="3">
        <v>1</v>
      </c>
    </row>
    <row r="346" spans="1:5">
      <c r="A346" s="29" t="s">
        <v>5094</v>
      </c>
      <c r="B346" s="29">
        <v>20170898</v>
      </c>
      <c r="C346" s="29" t="s">
        <v>96</v>
      </c>
      <c r="D346" s="2" t="s">
        <v>7</v>
      </c>
      <c r="E346" s="3">
        <v>1</v>
      </c>
    </row>
    <row r="347" spans="1:5">
      <c r="A347" s="29" t="s">
        <v>5094</v>
      </c>
      <c r="B347" s="29">
        <v>20170899</v>
      </c>
      <c r="C347" s="29" t="s">
        <v>96</v>
      </c>
      <c r="D347" s="2" t="s">
        <v>7</v>
      </c>
      <c r="E347" s="3">
        <v>1</v>
      </c>
    </row>
    <row r="348" spans="1:5">
      <c r="A348" s="29" t="s">
        <v>5094</v>
      </c>
      <c r="B348" s="29">
        <v>20170900</v>
      </c>
      <c r="C348" s="29" t="s">
        <v>96</v>
      </c>
      <c r="D348" s="2" t="s">
        <v>7</v>
      </c>
      <c r="E348" s="3">
        <v>1</v>
      </c>
    </row>
    <row r="349" spans="1:5">
      <c r="A349" s="29" t="s">
        <v>5094</v>
      </c>
      <c r="B349" s="29">
        <v>20170901</v>
      </c>
      <c r="C349" s="29" t="s">
        <v>96</v>
      </c>
      <c r="D349" s="2" t="s">
        <v>7</v>
      </c>
      <c r="E349" s="3">
        <v>1</v>
      </c>
    </row>
    <row r="350" spans="1:5">
      <c r="A350" s="29" t="s">
        <v>5094</v>
      </c>
      <c r="B350" s="29">
        <v>20170902</v>
      </c>
      <c r="C350" s="29" t="s">
        <v>96</v>
      </c>
      <c r="D350" s="2" t="s">
        <v>7</v>
      </c>
      <c r="E350" s="3">
        <v>1</v>
      </c>
    </row>
    <row r="351" spans="1:5">
      <c r="A351" s="29" t="s">
        <v>5094</v>
      </c>
      <c r="B351" s="29">
        <v>20170903</v>
      </c>
      <c r="C351" s="29" t="s">
        <v>96</v>
      </c>
      <c r="D351" s="2" t="s">
        <v>7</v>
      </c>
      <c r="E351" s="3">
        <v>1</v>
      </c>
    </row>
    <row r="352" spans="1:5">
      <c r="A352" s="29" t="s">
        <v>5094</v>
      </c>
      <c r="B352" s="29">
        <v>20170904</v>
      </c>
      <c r="C352" s="29" t="s">
        <v>96</v>
      </c>
      <c r="D352" s="2" t="s">
        <v>7</v>
      </c>
      <c r="E352" s="3">
        <v>1</v>
      </c>
    </row>
    <row r="353" spans="1:5">
      <c r="A353" s="29" t="s">
        <v>5094</v>
      </c>
      <c r="B353" s="29">
        <v>20170905</v>
      </c>
      <c r="C353" s="29" t="s">
        <v>96</v>
      </c>
      <c r="D353" s="2" t="s">
        <v>7</v>
      </c>
      <c r="E353" s="3">
        <v>1</v>
      </c>
    </row>
    <row r="354" spans="1:5">
      <c r="A354" s="29" t="s">
        <v>5094</v>
      </c>
      <c r="B354" s="29">
        <v>20170906</v>
      </c>
      <c r="C354" s="29" t="s">
        <v>96</v>
      </c>
      <c r="D354" s="2" t="s">
        <v>7</v>
      </c>
      <c r="E354" s="3">
        <v>1</v>
      </c>
    </row>
    <row r="355" spans="1:5">
      <c r="A355" s="29" t="s">
        <v>5094</v>
      </c>
      <c r="B355" s="29">
        <v>20170907</v>
      </c>
      <c r="C355" s="29" t="s">
        <v>96</v>
      </c>
      <c r="D355" s="2" t="s">
        <v>7</v>
      </c>
      <c r="E355" s="3">
        <v>1</v>
      </c>
    </row>
    <row r="356" spans="1:5">
      <c r="A356" s="29" t="s">
        <v>5094</v>
      </c>
      <c r="B356" s="29">
        <v>20170908</v>
      </c>
      <c r="C356" s="29" t="s">
        <v>96</v>
      </c>
      <c r="D356" s="2" t="s">
        <v>7</v>
      </c>
      <c r="E356" s="3">
        <v>1</v>
      </c>
    </row>
    <row r="357" spans="1:5">
      <c r="A357" s="29" t="s">
        <v>5094</v>
      </c>
      <c r="B357" s="29">
        <v>20170909</v>
      </c>
      <c r="C357" s="29" t="s">
        <v>96</v>
      </c>
      <c r="D357" s="2" t="s">
        <v>7</v>
      </c>
      <c r="E357" s="3">
        <v>1</v>
      </c>
    </row>
    <row r="358" spans="1:5">
      <c r="A358" s="29" t="s">
        <v>5094</v>
      </c>
      <c r="B358" s="29">
        <v>20170910</v>
      </c>
      <c r="C358" s="29" t="s">
        <v>96</v>
      </c>
      <c r="D358" s="2" t="s">
        <v>7</v>
      </c>
      <c r="E358" s="3">
        <v>1</v>
      </c>
    </row>
    <row r="359" spans="1:5">
      <c r="A359" s="29" t="s">
        <v>5094</v>
      </c>
      <c r="B359" s="29">
        <v>20170911</v>
      </c>
      <c r="C359" s="29" t="s">
        <v>96</v>
      </c>
      <c r="D359" s="2" t="s">
        <v>7</v>
      </c>
      <c r="E359" s="3">
        <v>1</v>
      </c>
    </row>
    <row r="360" spans="1:5">
      <c r="A360" s="29" t="s">
        <v>5094</v>
      </c>
      <c r="B360" s="29">
        <v>20170912</v>
      </c>
      <c r="C360" s="29" t="s">
        <v>96</v>
      </c>
      <c r="D360" s="2" t="s">
        <v>7</v>
      </c>
      <c r="E360" s="3">
        <v>1</v>
      </c>
    </row>
    <row r="361" spans="1:5">
      <c r="A361" s="29" t="s">
        <v>5094</v>
      </c>
      <c r="B361" s="29">
        <v>20170913</v>
      </c>
      <c r="C361" s="29" t="s">
        <v>96</v>
      </c>
      <c r="D361" s="2" t="s">
        <v>7</v>
      </c>
      <c r="E361" s="3">
        <v>1</v>
      </c>
    </row>
    <row r="362" spans="1:5">
      <c r="A362" s="29" t="s">
        <v>5094</v>
      </c>
      <c r="B362" s="29">
        <v>20170914</v>
      </c>
      <c r="C362" s="29" t="s">
        <v>96</v>
      </c>
      <c r="D362" s="2" t="s">
        <v>7</v>
      </c>
      <c r="E362" s="3">
        <v>1</v>
      </c>
    </row>
    <row r="363" spans="1:5">
      <c r="A363" s="29" t="s">
        <v>5094</v>
      </c>
      <c r="B363" s="29">
        <v>20170915</v>
      </c>
      <c r="C363" s="29" t="s">
        <v>96</v>
      </c>
      <c r="D363" s="2" t="s">
        <v>7</v>
      </c>
      <c r="E363" s="3">
        <v>1</v>
      </c>
    </row>
    <row r="364" spans="1:5">
      <c r="A364" s="29" t="s">
        <v>5094</v>
      </c>
      <c r="B364" s="29">
        <v>20170916</v>
      </c>
      <c r="C364" s="29" t="s">
        <v>96</v>
      </c>
      <c r="D364" s="2" t="s">
        <v>7</v>
      </c>
      <c r="E364" s="3">
        <v>1</v>
      </c>
    </row>
    <row r="365" spans="1:5">
      <c r="A365" s="29" t="s">
        <v>5094</v>
      </c>
      <c r="B365" s="29">
        <v>20170917</v>
      </c>
      <c r="C365" s="29" t="s">
        <v>96</v>
      </c>
      <c r="D365" s="2" t="s">
        <v>7</v>
      </c>
      <c r="E365" s="3">
        <v>1</v>
      </c>
    </row>
    <row r="366" spans="1:5">
      <c r="A366" s="29" t="s">
        <v>5094</v>
      </c>
      <c r="B366" s="29">
        <v>20170918</v>
      </c>
      <c r="C366" s="29" t="s">
        <v>96</v>
      </c>
      <c r="D366" s="2" t="s">
        <v>7</v>
      </c>
      <c r="E366" s="3">
        <v>1</v>
      </c>
    </row>
    <row r="367" spans="1:5">
      <c r="A367" s="29" t="s">
        <v>5094</v>
      </c>
      <c r="B367" s="29">
        <v>20170919</v>
      </c>
      <c r="C367" s="29" t="s">
        <v>96</v>
      </c>
      <c r="D367" s="2" t="s">
        <v>7</v>
      </c>
      <c r="E367" s="3">
        <v>1</v>
      </c>
    </row>
    <row r="368" spans="1:5">
      <c r="A368" s="29" t="s">
        <v>5094</v>
      </c>
      <c r="B368" s="29">
        <v>20170920</v>
      </c>
      <c r="C368" s="29" t="s">
        <v>96</v>
      </c>
      <c r="D368" s="2" t="s">
        <v>7</v>
      </c>
      <c r="E368" s="3">
        <v>1</v>
      </c>
    </row>
    <row r="369" spans="1:5">
      <c r="A369" s="29" t="s">
        <v>5094</v>
      </c>
      <c r="B369" s="29">
        <v>20170921</v>
      </c>
      <c r="C369" s="29" t="s">
        <v>96</v>
      </c>
      <c r="D369" s="2" t="s">
        <v>7</v>
      </c>
      <c r="E369" s="3">
        <v>1</v>
      </c>
    </row>
    <row r="370" spans="1:5">
      <c r="A370" s="29" t="s">
        <v>5094</v>
      </c>
      <c r="B370" s="29">
        <v>20170922</v>
      </c>
      <c r="C370" s="29" t="s">
        <v>96</v>
      </c>
      <c r="D370" s="2" t="s">
        <v>7</v>
      </c>
      <c r="E370" s="3">
        <v>1</v>
      </c>
    </row>
    <row r="371" spans="1:5">
      <c r="A371" s="29" t="s">
        <v>5094</v>
      </c>
      <c r="B371" s="29">
        <v>20170923</v>
      </c>
      <c r="C371" s="29" t="s">
        <v>96</v>
      </c>
      <c r="D371" s="2" t="s">
        <v>7</v>
      </c>
      <c r="E371" s="3">
        <v>1</v>
      </c>
    </row>
    <row r="372" spans="1:5">
      <c r="A372" s="29" t="s">
        <v>5094</v>
      </c>
      <c r="B372" s="29">
        <v>20170924</v>
      </c>
      <c r="C372" s="29" t="s">
        <v>96</v>
      </c>
      <c r="D372" s="2" t="s">
        <v>7</v>
      </c>
      <c r="E372" s="3">
        <v>1</v>
      </c>
    </row>
    <row r="373" spans="1:5">
      <c r="A373" s="29" t="s">
        <v>5094</v>
      </c>
      <c r="B373" s="29">
        <v>20170925</v>
      </c>
      <c r="C373" s="29" t="s">
        <v>96</v>
      </c>
      <c r="D373" s="2" t="s">
        <v>7</v>
      </c>
      <c r="E373" s="3">
        <v>1</v>
      </c>
    </row>
    <row r="374" spans="1:5">
      <c r="A374" s="29" t="s">
        <v>5094</v>
      </c>
      <c r="B374" s="29">
        <v>20170926</v>
      </c>
      <c r="C374" s="29" t="s">
        <v>96</v>
      </c>
      <c r="D374" s="2" t="s">
        <v>7</v>
      </c>
      <c r="E374" s="3">
        <v>1</v>
      </c>
    </row>
    <row r="375" spans="1:5">
      <c r="A375" s="29" t="s">
        <v>5094</v>
      </c>
      <c r="B375" s="29">
        <v>20170927</v>
      </c>
      <c r="C375" s="29" t="s">
        <v>96</v>
      </c>
      <c r="D375" s="2" t="s">
        <v>7</v>
      </c>
      <c r="E375" s="3">
        <v>1</v>
      </c>
    </row>
    <row r="376" spans="1:5">
      <c r="A376" s="29" t="s">
        <v>5094</v>
      </c>
      <c r="B376" s="29">
        <v>20170928</v>
      </c>
      <c r="C376" s="29" t="s">
        <v>96</v>
      </c>
      <c r="D376" s="2" t="s">
        <v>7</v>
      </c>
      <c r="E376" s="3">
        <v>1</v>
      </c>
    </row>
    <row r="377" spans="1:5">
      <c r="A377" s="29" t="s">
        <v>5094</v>
      </c>
      <c r="B377" s="29">
        <v>20170929</v>
      </c>
      <c r="C377" s="29" t="s">
        <v>96</v>
      </c>
      <c r="D377" s="2" t="s">
        <v>7</v>
      </c>
      <c r="E377" s="3">
        <v>1</v>
      </c>
    </row>
    <row r="378" spans="1:5">
      <c r="A378" s="29" t="s">
        <v>5094</v>
      </c>
      <c r="B378" s="29">
        <v>20170930</v>
      </c>
      <c r="C378" s="29" t="s">
        <v>96</v>
      </c>
      <c r="D378" s="2" t="s">
        <v>7</v>
      </c>
      <c r="E378" s="3">
        <v>1</v>
      </c>
    </row>
    <row r="379" spans="1:5">
      <c r="A379" s="29" t="s">
        <v>5094</v>
      </c>
      <c r="B379" s="29">
        <v>20170931</v>
      </c>
      <c r="C379" s="29" t="s">
        <v>96</v>
      </c>
      <c r="D379" s="2" t="s">
        <v>7</v>
      </c>
      <c r="E379" s="3">
        <v>1</v>
      </c>
    </row>
    <row r="380" spans="1:5">
      <c r="A380" s="29" t="s">
        <v>5094</v>
      </c>
      <c r="B380" s="29">
        <v>20170932</v>
      </c>
      <c r="C380" s="29" t="s">
        <v>96</v>
      </c>
      <c r="D380" s="2" t="s">
        <v>7</v>
      </c>
      <c r="E380" s="3">
        <v>1</v>
      </c>
    </row>
    <row r="381" spans="1:5">
      <c r="A381" s="29" t="s">
        <v>5094</v>
      </c>
      <c r="B381" s="29">
        <v>20170933</v>
      </c>
      <c r="C381" s="29" t="s">
        <v>96</v>
      </c>
      <c r="D381" s="2" t="s">
        <v>7</v>
      </c>
      <c r="E381" s="3">
        <v>1</v>
      </c>
    </row>
    <row r="382" spans="1:5">
      <c r="A382" s="29" t="s">
        <v>5094</v>
      </c>
      <c r="B382" s="29">
        <v>20170934</v>
      </c>
      <c r="C382" s="29" t="s">
        <v>96</v>
      </c>
      <c r="D382" s="2" t="s">
        <v>7</v>
      </c>
      <c r="E382" s="3">
        <v>1</v>
      </c>
    </row>
    <row r="383" spans="1:5">
      <c r="A383" s="29" t="s">
        <v>5094</v>
      </c>
      <c r="B383" s="29">
        <v>20170935</v>
      </c>
      <c r="C383" s="29" t="s">
        <v>96</v>
      </c>
      <c r="D383" s="2" t="s">
        <v>7</v>
      </c>
      <c r="E383" s="3">
        <v>1</v>
      </c>
    </row>
    <row r="384" spans="1:5">
      <c r="A384" s="29" t="s">
        <v>5094</v>
      </c>
      <c r="B384" s="29">
        <v>20170936</v>
      </c>
      <c r="C384" s="29" t="s">
        <v>96</v>
      </c>
      <c r="D384" s="2" t="s">
        <v>7</v>
      </c>
      <c r="E384" s="3">
        <v>1</v>
      </c>
    </row>
    <row r="385" spans="1:5">
      <c r="A385" s="29" t="s">
        <v>5094</v>
      </c>
      <c r="B385" s="29">
        <v>20170937</v>
      </c>
      <c r="C385" s="29" t="s">
        <v>96</v>
      </c>
      <c r="D385" s="2" t="s">
        <v>7</v>
      </c>
      <c r="E385" s="3">
        <v>1</v>
      </c>
    </row>
    <row r="386" spans="1:5">
      <c r="A386" s="29" t="s">
        <v>5094</v>
      </c>
      <c r="B386" s="29">
        <v>20170938</v>
      </c>
      <c r="C386" s="29" t="s">
        <v>96</v>
      </c>
      <c r="D386" s="2" t="s">
        <v>7</v>
      </c>
      <c r="E386" s="3">
        <v>1</v>
      </c>
    </row>
    <row r="387" spans="1:5">
      <c r="A387" s="29" t="s">
        <v>5094</v>
      </c>
      <c r="B387" s="29">
        <v>20170939</v>
      </c>
      <c r="C387" s="29" t="s">
        <v>96</v>
      </c>
      <c r="D387" s="2" t="s">
        <v>7</v>
      </c>
      <c r="E387" s="3">
        <v>1</v>
      </c>
    </row>
    <row r="388" spans="1:5">
      <c r="A388" s="29" t="s">
        <v>5094</v>
      </c>
      <c r="B388" s="29">
        <v>20170940</v>
      </c>
      <c r="C388" s="29" t="s">
        <v>96</v>
      </c>
      <c r="D388" s="2" t="s">
        <v>7</v>
      </c>
      <c r="E388" s="3">
        <v>1</v>
      </c>
    </row>
    <row r="389" spans="1:5">
      <c r="A389" s="29" t="s">
        <v>5094</v>
      </c>
      <c r="B389" s="29">
        <v>20170941</v>
      </c>
      <c r="C389" s="29" t="s">
        <v>96</v>
      </c>
      <c r="D389" s="2" t="s">
        <v>7</v>
      </c>
      <c r="E389" s="3">
        <v>1</v>
      </c>
    </row>
    <row r="390" spans="1:5">
      <c r="A390" s="29" t="s">
        <v>5094</v>
      </c>
      <c r="B390" s="29">
        <v>20170942</v>
      </c>
      <c r="C390" s="29" t="s">
        <v>96</v>
      </c>
      <c r="D390" s="2" t="s">
        <v>7</v>
      </c>
      <c r="E390" s="3">
        <v>1</v>
      </c>
    </row>
    <row r="391" spans="1:5">
      <c r="A391" s="29" t="s">
        <v>5094</v>
      </c>
      <c r="B391" s="29">
        <v>20170943</v>
      </c>
      <c r="C391" s="29" t="s">
        <v>96</v>
      </c>
      <c r="D391" s="2" t="s">
        <v>7</v>
      </c>
      <c r="E391" s="3">
        <v>1</v>
      </c>
    </row>
    <row r="392" spans="1:5">
      <c r="A392" s="29" t="s">
        <v>5094</v>
      </c>
      <c r="B392" s="29">
        <v>20210011</v>
      </c>
      <c r="C392" s="29" t="s">
        <v>5095</v>
      </c>
      <c r="D392" s="2" t="s">
        <v>7</v>
      </c>
      <c r="E392" s="3">
        <v>1</v>
      </c>
    </row>
    <row r="393" spans="1:5">
      <c r="A393" s="29" t="s">
        <v>5094</v>
      </c>
      <c r="B393" s="29">
        <v>20052503</v>
      </c>
      <c r="C393" s="29" t="s">
        <v>772</v>
      </c>
      <c r="D393" s="2" t="s">
        <v>7</v>
      </c>
      <c r="E393" s="3">
        <v>1</v>
      </c>
    </row>
    <row r="394" spans="1:5">
      <c r="A394" s="29" t="s">
        <v>5094</v>
      </c>
      <c r="B394" s="29">
        <v>20130504</v>
      </c>
      <c r="C394" s="29" t="s">
        <v>96</v>
      </c>
      <c r="D394" s="2" t="s">
        <v>7</v>
      </c>
      <c r="E394" s="3">
        <v>1</v>
      </c>
    </row>
    <row r="395" spans="1:5">
      <c r="A395" s="29" t="s">
        <v>5094</v>
      </c>
      <c r="B395" s="29">
        <v>20130505</v>
      </c>
      <c r="C395" s="29" t="s">
        <v>96</v>
      </c>
      <c r="D395" s="2" t="s">
        <v>7</v>
      </c>
      <c r="E395" s="3">
        <v>1</v>
      </c>
    </row>
    <row r="396" spans="1:5">
      <c r="A396" s="29" t="s">
        <v>5094</v>
      </c>
      <c r="B396" s="29">
        <v>20130506</v>
      </c>
      <c r="C396" s="29" t="s">
        <v>96</v>
      </c>
      <c r="D396" s="2" t="s">
        <v>7</v>
      </c>
      <c r="E396" s="3">
        <v>1</v>
      </c>
    </row>
    <row r="397" spans="1:5">
      <c r="A397" s="29" t="s">
        <v>5094</v>
      </c>
      <c r="B397" s="29">
        <v>20130507</v>
      </c>
      <c r="C397" s="29" t="s">
        <v>96</v>
      </c>
      <c r="D397" s="2" t="s">
        <v>7</v>
      </c>
      <c r="E397" s="3">
        <v>1</v>
      </c>
    </row>
    <row r="398" spans="1:5">
      <c r="A398" s="29" t="s">
        <v>5094</v>
      </c>
      <c r="B398" s="29">
        <v>20130508</v>
      </c>
      <c r="C398" s="29" t="s">
        <v>96</v>
      </c>
      <c r="D398" s="2" t="s">
        <v>7</v>
      </c>
      <c r="E398" s="3">
        <v>1</v>
      </c>
    </row>
    <row r="399" spans="1:5">
      <c r="A399" s="29" t="s">
        <v>5094</v>
      </c>
      <c r="B399" s="29">
        <v>20130509</v>
      </c>
      <c r="C399" s="29" t="s">
        <v>96</v>
      </c>
      <c r="D399" s="2" t="s">
        <v>7</v>
      </c>
      <c r="E399" s="3">
        <v>1</v>
      </c>
    </row>
    <row r="400" spans="1:5">
      <c r="A400" s="29" t="s">
        <v>5094</v>
      </c>
      <c r="B400" s="29">
        <v>20130510</v>
      </c>
      <c r="C400" s="29" t="s">
        <v>96</v>
      </c>
      <c r="D400" s="2" t="s">
        <v>7</v>
      </c>
      <c r="E400" s="3">
        <v>1</v>
      </c>
    </row>
    <row r="401" spans="1:5">
      <c r="A401" s="29" t="s">
        <v>5094</v>
      </c>
      <c r="B401" s="29">
        <v>20130511</v>
      </c>
      <c r="C401" s="29" t="s">
        <v>96</v>
      </c>
      <c r="D401" s="2" t="s">
        <v>7</v>
      </c>
      <c r="E401" s="3">
        <v>1</v>
      </c>
    </row>
    <row r="402" spans="1:5">
      <c r="A402" s="29" t="s">
        <v>5094</v>
      </c>
      <c r="B402" s="29">
        <v>20130512</v>
      </c>
      <c r="C402" s="29" t="s">
        <v>96</v>
      </c>
      <c r="D402" s="2" t="s">
        <v>7</v>
      </c>
      <c r="E402" s="3">
        <v>1</v>
      </c>
    </row>
    <row r="403" spans="1:5">
      <c r="A403" s="29" t="s">
        <v>5094</v>
      </c>
      <c r="B403" s="29">
        <v>20130513</v>
      </c>
      <c r="C403" s="29" t="s">
        <v>96</v>
      </c>
      <c r="D403" s="2" t="s">
        <v>7</v>
      </c>
      <c r="E403" s="3">
        <v>1</v>
      </c>
    </row>
    <row r="404" spans="1:5">
      <c r="A404" s="29" t="s">
        <v>5094</v>
      </c>
      <c r="B404" s="29">
        <v>20130514</v>
      </c>
      <c r="C404" s="29" t="s">
        <v>96</v>
      </c>
      <c r="D404" s="2" t="s">
        <v>7</v>
      </c>
      <c r="E404" s="3">
        <v>1</v>
      </c>
    </row>
    <row r="405" spans="1:5">
      <c r="A405" s="29" t="s">
        <v>5094</v>
      </c>
      <c r="B405" s="29">
        <v>20130515</v>
      </c>
      <c r="C405" s="29" t="s">
        <v>96</v>
      </c>
      <c r="D405" s="2" t="s">
        <v>7</v>
      </c>
      <c r="E405" s="3">
        <v>1</v>
      </c>
    </row>
    <row r="406" spans="1:5">
      <c r="A406" s="29" t="s">
        <v>5094</v>
      </c>
      <c r="B406" s="29">
        <v>20130516</v>
      </c>
      <c r="C406" s="29" t="s">
        <v>96</v>
      </c>
      <c r="D406" s="2" t="s">
        <v>7</v>
      </c>
      <c r="E406" s="3">
        <v>1</v>
      </c>
    </row>
    <row r="407" spans="1:5">
      <c r="A407" s="29" t="s">
        <v>5094</v>
      </c>
      <c r="B407" s="29">
        <v>20130517</v>
      </c>
      <c r="C407" s="29" t="s">
        <v>96</v>
      </c>
      <c r="D407" s="2" t="s">
        <v>7</v>
      </c>
      <c r="E407" s="3">
        <v>1</v>
      </c>
    </row>
    <row r="408" spans="1:5">
      <c r="A408" s="29" t="s">
        <v>5094</v>
      </c>
      <c r="B408" s="29">
        <v>20130518</v>
      </c>
      <c r="C408" s="29" t="s">
        <v>96</v>
      </c>
      <c r="D408" s="2" t="s">
        <v>7</v>
      </c>
      <c r="E408" s="3">
        <v>1</v>
      </c>
    </row>
    <row r="409" spans="1:5">
      <c r="A409" s="29" t="s">
        <v>5094</v>
      </c>
      <c r="B409" s="29">
        <v>20130519</v>
      </c>
      <c r="C409" s="29" t="s">
        <v>96</v>
      </c>
      <c r="D409" s="2" t="s">
        <v>7</v>
      </c>
      <c r="E409" s="3">
        <v>1</v>
      </c>
    </row>
    <row r="410" spans="1:5">
      <c r="A410" s="29" t="s">
        <v>5094</v>
      </c>
      <c r="B410" s="29">
        <v>20130520</v>
      </c>
      <c r="C410" s="29" t="s">
        <v>96</v>
      </c>
      <c r="D410" s="2" t="s">
        <v>7</v>
      </c>
      <c r="E410" s="3">
        <v>1</v>
      </c>
    </row>
    <row r="411" spans="1:5">
      <c r="A411" s="29" t="s">
        <v>5094</v>
      </c>
      <c r="B411" s="29">
        <v>20130521</v>
      </c>
      <c r="C411" s="29" t="s">
        <v>96</v>
      </c>
      <c r="D411" s="2" t="s">
        <v>7</v>
      </c>
      <c r="E411" s="3">
        <v>1</v>
      </c>
    </row>
    <row r="412" spans="1:5">
      <c r="A412" s="29" t="s">
        <v>5094</v>
      </c>
      <c r="B412" s="29">
        <v>20130522</v>
      </c>
      <c r="C412" s="29" t="s">
        <v>96</v>
      </c>
      <c r="D412" s="2" t="s">
        <v>7</v>
      </c>
      <c r="E412" s="3">
        <v>1</v>
      </c>
    </row>
    <row r="413" spans="1:5">
      <c r="A413" s="29" t="s">
        <v>5094</v>
      </c>
      <c r="B413" s="29">
        <v>20130523</v>
      </c>
      <c r="C413" s="29" t="s">
        <v>96</v>
      </c>
      <c r="D413" s="2" t="s">
        <v>7</v>
      </c>
      <c r="E413" s="3">
        <v>1</v>
      </c>
    </row>
    <row r="414" spans="1:5">
      <c r="A414" s="29" t="s">
        <v>5094</v>
      </c>
      <c r="B414" s="29">
        <v>20130524</v>
      </c>
      <c r="C414" s="29" t="s">
        <v>96</v>
      </c>
      <c r="D414" s="2" t="s">
        <v>7</v>
      </c>
      <c r="E414" s="3">
        <v>1</v>
      </c>
    </row>
    <row r="415" spans="1:5">
      <c r="A415" s="29" t="s">
        <v>5094</v>
      </c>
      <c r="B415" s="29">
        <v>20130525</v>
      </c>
      <c r="C415" s="29" t="s">
        <v>96</v>
      </c>
      <c r="D415" s="2" t="s">
        <v>7</v>
      </c>
      <c r="E415" s="3">
        <v>1</v>
      </c>
    </row>
    <row r="416" spans="1:5">
      <c r="A416" s="29" t="s">
        <v>5094</v>
      </c>
      <c r="B416" s="29">
        <v>20130526</v>
      </c>
      <c r="C416" s="29" t="s">
        <v>96</v>
      </c>
      <c r="D416" s="2" t="s">
        <v>7</v>
      </c>
      <c r="E416" s="3">
        <v>1</v>
      </c>
    </row>
    <row r="417" spans="1:5">
      <c r="A417" s="29" t="s">
        <v>5094</v>
      </c>
      <c r="B417" s="29">
        <v>20130527</v>
      </c>
      <c r="C417" s="29" t="s">
        <v>96</v>
      </c>
      <c r="D417" s="2" t="s">
        <v>7</v>
      </c>
      <c r="E417" s="3">
        <v>1</v>
      </c>
    </row>
    <row r="418" spans="1:5">
      <c r="A418" s="29" t="s">
        <v>5094</v>
      </c>
      <c r="B418" s="29">
        <v>20130528</v>
      </c>
      <c r="C418" s="29" t="s">
        <v>96</v>
      </c>
      <c r="D418" s="2" t="s">
        <v>7</v>
      </c>
      <c r="E418" s="3">
        <v>1</v>
      </c>
    </row>
    <row r="419" spans="1:5">
      <c r="A419" s="29" t="s">
        <v>5094</v>
      </c>
      <c r="B419" s="29">
        <v>20130529</v>
      </c>
      <c r="C419" s="29" t="s">
        <v>96</v>
      </c>
      <c r="D419" s="2" t="s">
        <v>7</v>
      </c>
      <c r="E419" s="3">
        <v>1</v>
      </c>
    </row>
    <row r="420" spans="1:5">
      <c r="A420" s="29" t="s">
        <v>5094</v>
      </c>
      <c r="B420" s="29">
        <v>20130530</v>
      </c>
      <c r="C420" s="29" t="s">
        <v>96</v>
      </c>
      <c r="D420" s="2" t="s">
        <v>7</v>
      </c>
      <c r="E420" s="3">
        <v>1</v>
      </c>
    </row>
    <row r="421" spans="1:5">
      <c r="A421" s="29" t="s">
        <v>5094</v>
      </c>
      <c r="B421" s="29">
        <v>20130531</v>
      </c>
      <c r="C421" s="29" t="s">
        <v>96</v>
      </c>
      <c r="D421" s="2" t="s">
        <v>7</v>
      </c>
      <c r="E421" s="3">
        <v>1</v>
      </c>
    </row>
    <row r="422" spans="1:5">
      <c r="A422" s="29" t="s">
        <v>5094</v>
      </c>
      <c r="B422" s="29">
        <v>20130532</v>
      </c>
      <c r="C422" s="29" t="s">
        <v>96</v>
      </c>
      <c r="D422" s="2" t="s">
        <v>7</v>
      </c>
      <c r="E422" s="3">
        <v>1</v>
      </c>
    </row>
    <row r="423" spans="1:5">
      <c r="A423" s="29" t="s">
        <v>5094</v>
      </c>
      <c r="B423" s="29">
        <v>20130533</v>
      </c>
      <c r="C423" s="29" t="s">
        <v>96</v>
      </c>
      <c r="D423" s="2" t="s">
        <v>7</v>
      </c>
      <c r="E423" s="3">
        <v>1</v>
      </c>
    </row>
    <row r="424" spans="1:5">
      <c r="A424" s="29" t="s">
        <v>5094</v>
      </c>
      <c r="B424" s="29">
        <v>20130534</v>
      </c>
      <c r="C424" s="29" t="s">
        <v>96</v>
      </c>
      <c r="D424" s="2" t="s">
        <v>7</v>
      </c>
      <c r="E424" s="3">
        <v>1</v>
      </c>
    </row>
    <row r="425" spans="1:5">
      <c r="A425" s="29" t="s">
        <v>5094</v>
      </c>
      <c r="B425" s="29">
        <v>20130535</v>
      </c>
      <c r="C425" s="29" t="s">
        <v>96</v>
      </c>
      <c r="D425" s="2" t="s">
        <v>7</v>
      </c>
      <c r="E425" s="3">
        <v>1</v>
      </c>
    </row>
    <row r="426" spans="1:5">
      <c r="A426" s="29" t="s">
        <v>5094</v>
      </c>
      <c r="B426" s="29">
        <v>20130536</v>
      </c>
      <c r="C426" s="29" t="s">
        <v>96</v>
      </c>
      <c r="D426" s="2" t="s">
        <v>7</v>
      </c>
      <c r="E426" s="3">
        <v>1</v>
      </c>
    </row>
    <row r="427" spans="1:5">
      <c r="A427" s="29" t="s">
        <v>5094</v>
      </c>
      <c r="B427" s="29">
        <v>20130537</v>
      </c>
      <c r="C427" s="29" t="s">
        <v>96</v>
      </c>
      <c r="D427" s="2" t="s">
        <v>7</v>
      </c>
      <c r="E427" s="3">
        <v>1</v>
      </c>
    </row>
    <row r="428" spans="1:5">
      <c r="A428" s="29" t="s">
        <v>5094</v>
      </c>
      <c r="B428" s="29">
        <v>20130538</v>
      </c>
      <c r="C428" s="29" t="s">
        <v>96</v>
      </c>
      <c r="D428" s="2" t="s">
        <v>7</v>
      </c>
      <c r="E428" s="3">
        <v>1</v>
      </c>
    </row>
    <row r="429" spans="1:5">
      <c r="A429" s="29" t="s">
        <v>5094</v>
      </c>
      <c r="B429" s="29">
        <v>20130539</v>
      </c>
      <c r="C429" s="29" t="s">
        <v>96</v>
      </c>
      <c r="D429" s="2" t="s">
        <v>7</v>
      </c>
      <c r="E429" s="3">
        <v>1</v>
      </c>
    </row>
    <row r="430" spans="1:5">
      <c r="A430" s="29" t="s">
        <v>5094</v>
      </c>
      <c r="B430" s="29">
        <v>20130540</v>
      </c>
      <c r="C430" s="29" t="s">
        <v>96</v>
      </c>
      <c r="D430" s="2" t="s">
        <v>7</v>
      </c>
      <c r="E430" s="3">
        <v>1</v>
      </c>
    </row>
    <row r="431" spans="1:5">
      <c r="A431" s="29" t="s">
        <v>5094</v>
      </c>
      <c r="B431" s="29">
        <v>20130541</v>
      </c>
      <c r="C431" s="29" t="s">
        <v>96</v>
      </c>
      <c r="D431" s="2" t="s">
        <v>7</v>
      </c>
      <c r="E431" s="3">
        <v>1</v>
      </c>
    </row>
    <row r="432" spans="1:5">
      <c r="A432" s="29" t="s">
        <v>5094</v>
      </c>
      <c r="B432" s="29">
        <v>20130542</v>
      </c>
      <c r="C432" s="29" t="s">
        <v>96</v>
      </c>
      <c r="D432" s="2" t="s">
        <v>7</v>
      </c>
      <c r="E432" s="3">
        <v>1</v>
      </c>
    </row>
    <row r="433" spans="1:5">
      <c r="A433" s="29" t="s">
        <v>5094</v>
      </c>
      <c r="B433" s="29">
        <v>20130543</v>
      </c>
      <c r="C433" s="29" t="s">
        <v>96</v>
      </c>
      <c r="D433" s="2" t="s">
        <v>7</v>
      </c>
      <c r="E433" s="3">
        <v>1</v>
      </c>
    </row>
    <row r="434" spans="1:5">
      <c r="A434" s="29" t="s">
        <v>5094</v>
      </c>
      <c r="B434" s="29">
        <v>20130544</v>
      </c>
      <c r="C434" s="29" t="s">
        <v>96</v>
      </c>
      <c r="D434" s="2" t="s">
        <v>7</v>
      </c>
      <c r="E434" s="3">
        <v>1</v>
      </c>
    </row>
    <row r="435" spans="1:5">
      <c r="A435" s="29" t="s">
        <v>5094</v>
      </c>
      <c r="B435" s="29">
        <v>20130545</v>
      </c>
      <c r="C435" s="29" t="s">
        <v>96</v>
      </c>
      <c r="D435" s="2" t="s">
        <v>7</v>
      </c>
      <c r="E435" s="3">
        <v>1</v>
      </c>
    </row>
    <row r="436" spans="1:5">
      <c r="A436" s="29" t="s">
        <v>5094</v>
      </c>
      <c r="B436" s="29">
        <v>20130546</v>
      </c>
      <c r="C436" s="29" t="s">
        <v>96</v>
      </c>
      <c r="D436" s="2" t="s">
        <v>7</v>
      </c>
      <c r="E436" s="3">
        <v>1</v>
      </c>
    </row>
    <row r="437" spans="1:5">
      <c r="A437" s="29" t="s">
        <v>5094</v>
      </c>
      <c r="B437" s="29">
        <v>20130547</v>
      </c>
      <c r="C437" s="29" t="s">
        <v>96</v>
      </c>
      <c r="D437" s="2" t="s">
        <v>7</v>
      </c>
      <c r="E437" s="3">
        <v>1</v>
      </c>
    </row>
    <row r="438" spans="1:5">
      <c r="A438" s="29" t="s">
        <v>5094</v>
      </c>
      <c r="B438" s="29">
        <v>20130548</v>
      </c>
      <c r="C438" s="29" t="s">
        <v>96</v>
      </c>
      <c r="D438" s="2" t="s">
        <v>7</v>
      </c>
      <c r="E438" s="3">
        <v>1</v>
      </c>
    </row>
    <row r="439" spans="1:5">
      <c r="A439" s="29" t="s">
        <v>5094</v>
      </c>
      <c r="B439" s="29">
        <v>20130549</v>
      </c>
      <c r="C439" s="29" t="s">
        <v>96</v>
      </c>
      <c r="D439" s="2" t="s">
        <v>7</v>
      </c>
      <c r="E439" s="3">
        <v>1</v>
      </c>
    </row>
    <row r="440" spans="1:5">
      <c r="A440" s="29" t="s">
        <v>5094</v>
      </c>
      <c r="B440" s="29">
        <v>20130550</v>
      </c>
      <c r="C440" s="29" t="s">
        <v>96</v>
      </c>
      <c r="D440" s="2" t="s">
        <v>7</v>
      </c>
      <c r="E440" s="3">
        <v>1</v>
      </c>
    </row>
    <row r="441" spans="1:5">
      <c r="A441" s="29" t="s">
        <v>5094</v>
      </c>
      <c r="B441" s="29">
        <v>20130551</v>
      </c>
      <c r="C441" s="29" t="s">
        <v>96</v>
      </c>
      <c r="D441" s="2" t="s">
        <v>7</v>
      </c>
      <c r="E441" s="3">
        <v>1</v>
      </c>
    </row>
    <row r="442" spans="1:5">
      <c r="A442" s="29" t="s">
        <v>5094</v>
      </c>
      <c r="B442" s="29">
        <v>20130552</v>
      </c>
      <c r="C442" s="29" t="s">
        <v>96</v>
      </c>
      <c r="D442" s="2" t="s">
        <v>7</v>
      </c>
      <c r="E442" s="3">
        <v>1</v>
      </c>
    </row>
    <row r="443" spans="1:5">
      <c r="A443" s="29" t="s">
        <v>5094</v>
      </c>
      <c r="B443" s="29">
        <v>20130553</v>
      </c>
      <c r="C443" s="29" t="s">
        <v>96</v>
      </c>
      <c r="D443" s="2" t="s">
        <v>7</v>
      </c>
      <c r="E443" s="3">
        <v>1</v>
      </c>
    </row>
    <row r="444" spans="1:5">
      <c r="A444" s="29" t="s">
        <v>5094</v>
      </c>
      <c r="B444" s="29">
        <v>20130554</v>
      </c>
      <c r="C444" s="29" t="s">
        <v>96</v>
      </c>
      <c r="D444" s="2" t="s">
        <v>7</v>
      </c>
      <c r="E444" s="3">
        <v>1</v>
      </c>
    </row>
    <row r="445" spans="1:5">
      <c r="A445" s="29" t="s">
        <v>5094</v>
      </c>
      <c r="B445" s="29">
        <v>20130555</v>
      </c>
      <c r="C445" s="29" t="s">
        <v>96</v>
      </c>
      <c r="D445" s="2" t="s">
        <v>7</v>
      </c>
      <c r="E445" s="3">
        <v>1</v>
      </c>
    </row>
    <row r="446" spans="1:5">
      <c r="A446" s="29" t="s">
        <v>5094</v>
      </c>
      <c r="B446" s="29">
        <v>20130556</v>
      </c>
      <c r="C446" s="29" t="s">
        <v>96</v>
      </c>
      <c r="D446" s="2" t="s">
        <v>7</v>
      </c>
      <c r="E446" s="3">
        <v>1</v>
      </c>
    </row>
    <row r="447" spans="1:5">
      <c r="A447" s="29" t="s">
        <v>5094</v>
      </c>
      <c r="B447" s="29">
        <v>20130557</v>
      </c>
      <c r="C447" s="29" t="s">
        <v>96</v>
      </c>
      <c r="D447" s="2" t="s">
        <v>7</v>
      </c>
      <c r="E447" s="3">
        <v>1</v>
      </c>
    </row>
    <row r="448" spans="1:5">
      <c r="A448" s="29" t="s">
        <v>5094</v>
      </c>
      <c r="B448" s="29">
        <v>20130558</v>
      </c>
      <c r="C448" s="29" t="s">
        <v>96</v>
      </c>
      <c r="D448" s="2" t="s">
        <v>7</v>
      </c>
      <c r="E448" s="3">
        <v>1</v>
      </c>
    </row>
    <row r="449" spans="1:5">
      <c r="A449" s="29" t="s">
        <v>5094</v>
      </c>
      <c r="B449" s="29">
        <v>20190385</v>
      </c>
      <c r="C449" s="29" t="s">
        <v>96</v>
      </c>
      <c r="D449" s="2" t="s">
        <v>7</v>
      </c>
      <c r="E449" s="3">
        <v>1</v>
      </c>
    </row>
    <row r="450" spans="1:5">
      <c r="A450" s="29" t="s">
        <v>5094</v>
      </c>
      <c r="B450" s="29">
        <v>20190386</v>
      </c>
      <c r="C450" s="29" t="s">
        <v>96</v>
      </c>
      <c r="D450" s="2" t="s">
        <v>7</v>
      </c>
      <c r="E450" s="3">
        <v>1</v>
      </c>
    </row>
    <row r="451" spans="1:5">
      <c r="A451" s="29" t="s">
        <v>5094</v>
      </c>
      <c r="B451" s="29">
        <v>20190387</v>
      </c>
      <c r="C451" s="29" t="s">
        <v>96</v>
      </c>
      <c r="D451" s="2" t="s">
        <v>7</v>
      </c>
      <c r="E451" s="3">
        <v>1</v>
      </c>
    </row>
    <row r="452" spans="1:5">
      <c r="A452" s="29" t="s">
        <v>5094</v>
      </c>
      <c r="B452" s="29">
        <v>20190388</v>
      </c>
      <c r="C452" s="29" t="s">
        <v>96</v>
      </c>
      <c r="D452" s="2" t="s">
        <v>7</v>
      </c>
      <c r="E452" s="3">
        <v>1</v>
      </c>
    </row>
    <row r="453" spans="1:5">
      <c r="A453" s="29" t="s">
        <v>5094</v>
      </c>
      <c r="B453" s="29">
        <v>20190389</v>
      </c>
      <c r="C453" s="29" t="s">
        <v>96</v>
      </c>
      <c r="D453" s="2" t="s">
        <v>7</v>
      </c>
      <c r="E453" s="3">
        <v>1</v>
      </c>
    </row>
    <row r="454" spans="1:5">
      <c r="A454" s="29" t="s">
        <v>5094</v>
      </c>
      <c r="B454" s="29">
        <v>20190390</v>
      </c>
      <c r="C454" s="29" t="s">
        <v>96</v>
      </c>
      <c r="D454" s="2" t="s">
        <v>7</v>
      </c>
      <c r="E454" s="3">
        <v>1</v>
      </c>
    </row>
    <row r="455" spans="1:5">
      <c r="A455" s="29" t="s">
        <v>5094</v>
      </c>
      <c r="B455" s="29">
        <v>20190391</v>
      </c>
      <c r="C455" s="29" t="s">
        <v>96</v>
      </c>
      <c r="D455" s="2" t="s">
        <v>7</v>
      </c>
      <c r="E455" s="3">
        <v>1</v>
      </c>
    </row>
    <row r="456" spans="1:5">
      <c r="A456" s="29" t="s">
        <v>5094</v>
      </c>
      <c r="B456" s="29">
        <v>20190392</v>
      </c>
      <c r="C456" s="29" t="s">
        <v>96</v>
      </c>
      <c r="D456" s="2" t="s">
        <v>7</v>
      </c>
      <c r="E456" s="3">
        <v>1</v>
      </c>
    </row>
    <row r="457" spans="1:5">
      <c r="A457" s="29" t="s">
        <v>5094</v>
      </c>
      <c r="B457" s="29">
        <v>20190393</v>
      </c>
      <c r="C457" s="29" t="s">
        <v>96</v>
      </c>
      <c r="D457" s="2" t="s">
        <v>7</v>
      </c>
      <c r="E457" s="3">
        <v>1</v>
      </c>
    </row>
    <row r="458" spans="1:5">
      <c r="A458" s="29" t="s">
        <v>5094</v>
      </c>
      <c r="B458" s="29">
        <v>20190394</v>
      </c>
      <c r="C458" s="29" t="s">
        <v>96</v>
      </c>
      <c r="D458" s="2" t="s">
        <v>7</v>
      </c>
      <c r="E458" s="3">
        <v>1</v>
      </c>
    </row>
    <row r="459" spans="1:5">
      <c r="A459" s="29" t="s">
        <v>5094</v>
      </c>
      <c r="B459" s="29">
        <v>20190395</v>
      </c>
      <c r="C459" s="29" t="s">
        <v>96</v>
      </c>
      <c r="D459" s="2" t="s">
        <v>7</v>
      </c>
      <c r="E459" s="3">
        <v>1</v>
      </c>
    </row>
    <row r="460" spans="1:5">
      <c r="A460" s="29" t="s">
        <v>5094</v>
      </c>
      <c r="B460" s="29">
        <v>20190396</v>
      </c>
      <c r="C460" s="29" t="s">
        <v>96</v>
      </c>
      <c r="D460" s="2" t="s">
        <v>7</v>
      </c>
      <c r="E460" s="3">
        <v>1</v>
      </c>
    </row>
    <row r="461" spans="1:5">
      <c r="A461" s="29" t="s">
        <v>5094</v>
      </c>
      <c r="B461" s="29">
        <v>20190397</v>
      </c>
      <c r="C461" s="29" t="s">
        <v>96</v>
      </c>
      <c r="D461" s="2" t="s">
        <v>7</v>
      </c>
      <c r="E461" s="3">
        <v>1</v>
      </c>
    </row>
    <row r="462" spans="1:5">
      <c r="A462" s="29" t="s">
        <v>5094</v>
      </c>
      <c r="B462" s="29">
        <v>20190398</v>
      </c>
      <c r="C462" s="29" t="s">
        <v>96</v>
      </c>
      <c r="D462" s="2" t="s">
        <v>7</v>
      </c>
      <c r="E462" s="3">
        <v>1</v>
      </c>
    </row>
    <row r="463" spans="1:5">
      <c r="A463" s="29" t="s">
        <v>5094</v>
      </c>
      <c r="B463" s="29">
        <v>20190399</v>
      </c>
      <c r="C463" s="29" t="s">
        <v>96</v>
      </c>
      <c r="D463" s="2" t="s">
        <v>7</v>
      </c>
      <c r="E463" s="3">
        <v>1</v>
      </c>
    </row>
    <row r="464" spans="1:5">
      <c r="A464" s="29" t="s">
        <v>5094</v>
      </c>
      <c r="B464" s="29">
        <v>20190400</v>
      </c>
      <c r="C464" s="29" t="s">
        <v>96</v>
      </c>
      <c r="D464" s="2" t="s">
        <v>7</v>
      </c>
      <c r="E464" s="3">
        <v>1</v>
      </c>
    </row>
    <row r="465" spans="1:5">
      <c r="A465" s="29" t="s">
        <v>5094</v>
      </c>
      <c r="B465" s="29">
        <v>20190401</v>
      </c>
      <c r="C465" s="29" t="s">
        <v>96</v>
      </c>
      <c r="D465" s="2" t="s">
        <v>7</v>
      </c>
      <c r="E465" s="3">
        <v>1</v>
      </c>
    </row>
    <row r="466" spans="1:5">
      <c r="A466" s="29" t="s">
        <v>5094</v>
      </c>
      <c r="B466" s="29">
        <v>20190402</v>
      </c>
      <c r="C466" s="29" t="s">
        <v>96</v>
      </c>
      <c r="D466" s="2" t="s">
        <v>7</v>
      </c>
      <c r="E466" s="3">
        <v>1</v>
      </c>
    </row>
    <row r="467" spans="1:5">
      <c r="A467" s="29" t="s">
        <v>5094</v>
      </c>
      <c r="B467" s="29">
        <v>20190403</v>
      </c>
      <c r="C467" s="29" t="s">
        <v>96</v>
      </c>
      <c r="D467" s="2" t="s">
        <v>7</v>
      </c>
      <c r="E467" s="3">
        <v>1</v>
      </c>
    </row>
    <row r="468" spans="1:5">
      <c r="A468" s="29" t="s">
        <v>5094</v>
      </c>
      <c r="B468" s="29">
        <v>20190404</v>
      </c>
      <c r="C468" s="29" t="s">
        <v>96</v>
      </c>
      <c r="D468" s="2" t="s">
        <v>7</v>
      </c>
      <c r="E468" s="3">
        <v>1</v>
      </c>
    </row>
    <row r="469" spans="1:5">
      <c r="A469" s="29" t="s">
        <v>5094</v>
      </c>
      <c r="B469" s="29">
        <v>20190405</v>
      </c>
      <c r="C469" s="29" t="s">
        <v>96</v>
      </c>
      <c r="D469" s="2" t="s">
        <v>7</v>
      </c>
      <c r="E469" s="3">
        <v>1</v>
      </c>
    </row>
    <row r="470" spans="1:5">
      <c r="A470" s="29" t="s">
        <v>5094</v>
      </c>
      <c r="B470" s="29">
        <v>20190406</v>
      </c>
      <c r="C470" s="29" t="s">
        <v>96</v>
      </c>
      <c r="D470" s="2" t="s">
        <v>7</v>
      </c>
      <c r="E470" s="3">
        <v>1</v>
      </c>
    </row>
    <row r="471" spans="1:5">
      <c r="A471" s="29" t="s">
        <v>5094</v>
      </c>
      <c r="B471" s="29">
        <v>20190407</v>
      </c>
      <c r="C471" s="29" t="s">
        <v>96</v>
      </c>
      <c r="D471" s="2" t="s">
        <v>7</v>
      </c>
      <c r="E471" s="3">
        <v>1</v>
      </c>
    </row>
    <row r="472" spans="1:5">
      <c r="A472" s="29" t="s">
        <v>5094</v>
      </c>
      <c r="B472" s="29">
        <v>20190408</v>
      </c>
      <c r="C472" s="29" t="s">
        <v>96</v>
      </c>
      <c r="D472" s="2" t="s">
        <v>7</v>
      </c>
      <c r="E472" s="3">
        <v>1</v>
      </c>
    </row>
    <row r="473" spans="1:5">
      <c r="A473" s="29" t="s">
        <v>5094</v>
      </c>
      <c r="B473" s="29">
        <v>20190409</v>
      </c>
      <c r="C473" s="29" t="s">
        <v>96</v>
      </c>
      <c r="D473" s="2" t="s">
        <v>7</v>
      </c>
      <c r="E473" s="3">
        <v>1</v>
      </c>
    </row>
    <row r="474" spans="1:5">
      <c r="A474" s="29" t="s">
        <v>5094</v>
      </c>
      <c r="B474" s="29">
        <v>20190410</v>
      </c>
      <c r="C474" s="29" t="s">
        <v>96</v>
      </c>
      <c r="D474" s="2" t="s">
        <v>7</v>
      </c>
      <c r="E474" s="3">
        <v>1</v>
      </c>
    </row>
    <row r="475" spans="1:5">
      <c r="A475" s="29" t="s">
        <v>5094</v>
      </c>
      <c r="B475" s="29">
        <v>20190411</v>
      </c>
      <c r="C475" s="29" t="s">
        <v>96</v>
      </c>
      <c r="D475" s="2" t="s">
        <v>7</v>
      </c>
      <c r="E475" s="3">
        <v>1</v>
      </c>
    </row>
    <row r="476" spans="1:5">
      <c r="A476" s="29" t="s">
        <v>5094</v>
      </c>
      <c r="B476" s="29">
        <v>20190412</v>
      </c>
      <c r="C476" s="29" t="s">
        <v>96</v>
      </c>
      <c r="D476" s="2" t="s">
        <v>7</v>
      </c>
      <c r="E476" s="3">
        <v>1</v>
      </c>
    </row>
    <row r="477" spans="1:5">
      <c r="A477" s="29" t="s">
        <v>5094</v>
      </c>
      <c r="B477" s="29">
        <v>20190413</v>
      </c>
      <c r="C477" s="29" t="s">
        <v>96</v>
      </c>
      <c r="D477" s="2" t="s">
        <v>7</v>
      </c>
      <c r="E477" s="3">
        <v>1</v>
      </c>
    </row>
    <row r="478" spans="1:5">
      <c r="A478" s="29" t="s">
        <v>5094</v>
      </c>
      <c r="B478" s="29">
        <v>20190414</v>
      </c>
      <c r="C478" s="29" t="s">
        <v>96</v>
      </c>
      <c r="D478" s="2" t="s">
        <v>7</v>
      </c>
      <c r="E478" s="3">
        <v>1</v>
      </c>
    </row>
    <row r="479" spans="1:5">
      <c r="A479" s="29" t="s">
        <v>5094</v>
      </c>
      <c r="B479" s="29">
        <v>20190415</v>
      </c>
      <c r="C479" s="29" t="s">
        <v>96</v>
      </c>
      <c r="D479" s="2" t="s">
        <v>7</v>
      </c>
      <c r="E479" s="3">
        <v>1</v>
      </c>
    </row>
    <row r="480" spans="1:5">
      <c r="A480" s="29" t="s">
        <v>5094</v>
      </c>
      <c r="B480" s="29">
        <v>20190416</v>
      </c>
      <c r="C480" s="29" t="s">
        <v>96</v>
      </c>
      <c r="D480" s="2" t="s">
        <v>7</v>
      </c>
      <c r="E480" s="3">
        <v>1</v>
      </c>
    </row>
    <row r="481" spans="1:5">
      <c r="A481" s="29" t="s">
        <v>5094</v>
      </c>
      <c r="B481" s="29">
        <v>20190417</v>
      </c>
      <c r="C481" s="29" t="s">
        <v>96</v>
      </c>
      <c r="D481" s="2" t="s">
        <v>7</v>
      </c>
      <c r="E481" s="3">
        <v>1</v>
      </c>
    </row>
    <row r="482" spans="1:5">
      <c r="A482" s="29" t="s">
        <v>5094</v>
      </c>
      <c r="B482" s="29">
        <v>20190418</v>
      </c>
      <c r="C482" s="29" t="s">
        <v>96</v>
      </c>
      <c r="D482" s="2" t="s">
        <v>7</v>
      </c>
      <c r="E482" s="3">
        <v>1</v>
      </c>
    </row>
    <row r="483" spans="1:5">
      <c r="A483" s="29" t="s">
        <v>5094</v>
      </c>
      <c r="B483" s="29">
        <v>20190419</v>
      </c>
      <c r="C483" s="29" t="s">
        <v>96</v>
      </c>
      <c r="D483" s="2" t="s">
        <v>7</v>
      </c>
      <c r="E483" s="3">
        <v>1</v>
      </c>
    </row>
    <row r="484" spans="1:5">
      <c r="A484" s="29" t="s">
        <v>5094</v>
      </c>
      <c r="B484" s="29">
        <v>20190420</v>
      </c>
      <c r="C484" s="29" t="s">
        <v>96</v>
      </c>
      <c r="D484" s="2" t="s">
        <v>7</v>
      </c>
      <c r="E484" s="3">
        <v>1</v>
      </c>
    </row>
    <row r="485" spans="1:5">
      <c r="A485" s="29" t="s">
        <v>5094</v>
      </c>
      <c r="B485" s="29">
        <v>20190421</v>
      </c>
      <c r="C485" s="29" t="s">
        <v>96</v>
      </c>
      <c r="D485" s="2" t="s">
        <v>7</v>
      </c>
      <c r="E485" s="3">
        <v>1</v>
      </c>
    </row>
    <row r="486" spans="1:5">
      <c r="A486" s="29" t="s">
        <v>5094</v>
      </c>
      <c r="B486" s="29">
        <v>20190422</v>
      </c>
      <c r="C486" s="29" t="s">
        <v>96</v>
      </c>
      <c r="D486" s="2" t="s">
        <v>7</v>
      </c>
      <c r="E486" s="3">
        <v>1</v>
      </c>
    </row>
    <row r="487" spans="1:5">
      <c r="A487" s="29" t="s">
        <v>5094</v>
      </c>
      <c r="B487" s="29">
        <v>20190423</v>
      </c>
      <c r="C487" s="29" t="s">
        <v>96</v>
      </c>
      <c r="D487" s="2" t="s">
        <v>7</v>
      </c>
      <c r="E487" s="3">
        <v>1</v>
      </c>
    </row>
    <row r="488" spans="1:5">
      <c r="A488" s="29" t="s">
        <v>5094</v>
      </c>
      <c r="B488" s="29">
        <v>20190424</v>
      </c>
      <c r="C488" s="29" t="s">
        <v>96</v>
      </c>
      <c r="D488" s="2" t="s">
        <v>7</v>
      </c>
      <c r="E488" s="3">
        <v>1</v>
      </c>
    </row>
    <row r="489" spans="1:5">
      <c r="A489" s="29" t="s">
        <v>5094</v>
      </c>
      <c r="B489" s="29">
        <v>20190425</v>
      </c>
      <c r="C489" s="29" t="s">
        <v>96</v>
      </c>
      <c r="D489" s="2" t="s">
        <v>7</v>
      </c>
      <c r="E489" s="3">
        <v>1</v>
      </c>
    </row>
    <row r="490" spans="1:5">
      <c r="A490" s="29" t="s">
        <v>5094</v>
      </c>
      <c r="B490" s="29">
        <v>20190426</v>
      </c>
      <c r="C490" s="29" t="s">
        <v>96</v>
      </c>
      <c r="D490" s="2" t="s">
        <v>7</v>
      </c>
      <c r="E490" s="3">
        <v>1</v>
      </c>
    </row>
    <row r="491" spans="1:5">
      <c r="A491" s="29" t="s">
        <v>5094</v>
      </c>
      <c r="B491" s="29">
        <v>20190427</v>
      </c>
      <c r="C491" s="29" t="s">
        <v>96</v>
      </c>
      <c r="D491" s="2" t="s">
        <v>7</v>
      </c>
      <c r="E491" s="3">
        <v>1</v>
      </c>
    </row>
    <row r="492" spans="1:5">
      <c r="A492" s="29" t="s">
        <v>5094</v>
      </c>
      <c r="B492" s="29">
        <v>20190428</v>
      </c>
      <c r="C492" s="29" t="s">
        <v>96</v>
      </c>
      <c r="D492" s="2" t="s">
        <v>7</v>
      </c>
      <c r="E492" s="3">
        <v>1</v>
      </c>
    </row>
    <row r="493" spans="1:5">
      <c r="A493" s="29" t="s">
        <v>5094</v>
      </c>
      <c r="B493" s="29">
        <v>20190429</v>
      </c>
      <c r="C493" s="29" t="s">
        <v>96</v>
      </c>
      <c r="D493" s="2" t="s">
        <v>7</v>
      </c>
      <c r="E493" s="3">
        <v>1</v>
      </c>
    </row>
    <row r="494" spans="1:5">
      <c r="A494" s="29" t="s">
        <v>5094</v>
      </c>
      <c r="B494" s="29">
        <v>20190430</v>
      </c>
      <c r="C494" s="29" t="s">
        <v>96</v>
      </c>
      <c r="D494" s="2" t="s">
        <v>7</v>
      </c>
      <c r="E494" s="3">
        <v>1</v>
      </c>
    </row>
    <row r="495" spans="1:5">
      <c r="A495" s="29" t="s">
        <v>5094</v>
      </c>
      <c r="B495" s="29">
        <v>20190431</v>
      </c>
      <c r="C495" s="29" t="s">
        <v>96</v>
      </c>
      <c r="D495" s="2" t="s">
        <v>7</v>
      </c>
      <c r="E495" s="3">
        <v>1</v>
      </c>
    </row>
    <row r="496" spans="1:5">
      <c r="A496" s="29" t="s">
        <v>5094</v>
      </c>
      <c r="B496" s="29">
        <v>20190432</v>
      </c>
      <c r="C496" s="29" t="s">
        <v>96</v>
      </c>
      <c r="D496" s="2" t="s">
        <v>7</v>
      </c>
      <c r="E496" s="3">
        <v>1</v>
      </c>
    </row>
    <row r="497" spans="1:5">
      <c r="A497" s="29" t="s">
        <v>5094</v>
      </c>
      <c r="B497" s="29">
        <v>20190433</v>
      </c>
      <c r="C497" s="29" t="s">
        <v>96</v>
      </c>
      <c r="D497" s="2" t="s">
        <v>7</v>
      </c>
      <c r="E497" s="3">
        <v>1</v>
      </c>
    </row>
    <row r="498" spans="1:5">
      <c r="A498" s="29" t="s">
        <v>5094</v>
      </c>
      <c r="B498" s="29">
        <v>20190434</v>
      </c>
      <c r="C498" s="29" t="s">
        <v>96</v>
      </c>
      <c r="D498" s="2" t="s">
        <v>7</v>
      </c>
      <c r="E498" s="3">
        <v>1</v>
      </c>
    </row>
    <row r="499" spans="1:5">
      <c r="A499" s="29" t="s">
        <v>5094</v>
      </c>
      <c r="B499" s="29">
        <v>20190435</v>
      </c>
      <c r="C499" s="29" t="s">
        <v>96</v>
      </c>
      <c r="D499" s="2" t="s">
        <v>7</v>
      </c>
      <c r="E499" s="3">
        <v>1</v>
      </c>
    </row>
    <row r="500" spans="1:5">
      <c r="A500" s="29" t="s">
        <v>5094</v>
      </c>
      <c r="B500" s="29">
        <v>20190436</v>
      </c>
      <c r="C500" s="29" t="s">
        <v>96</v>
      </c>
      <c r="D500" s="2" t="s">
        <v>7</v>
      </c>
      <c r="E500" s="3">
        <v>1</v>
      </c>
    </row>
    <row r="501" spans="1:5">
      <c r="A501" s="29" t="s">
        <v>5094</v>
      </c>
      <c r="B501" s="29">
        <v>20190437</v>
      </c>
      <c r="C501" s="29" t="s">
        <v>96</v>
      </c>
      <c r="D501" s="2" t="s">
        <v>7</v>
      </c>
      <c r="E501" s="3">
        <v>1</v>
      </c>
    </row>
    <row r="502" spans="1:5">
      <c r="A502" s="29" t="s">
        <v>5094</v>
      </c>
      <c r="B502" s="29">
        <v>20190438</v>
      </c>
      <c r="C502" s="29" t="s">
        <v>96</v>
      </c>
      <c r="D502" s="2" t="s">
        <v>7</v>
      </c>
      <c r="E502" s="3">
        <v>1</v>
      </c>
    </row>
    <row r="503" spans="1:5">
      <c r="A503" s="29" t="s">
        <v>5094</v>
      </c>
      <c r="B503" s="29">
        <v>20190439</v>
      </c>
      <c r="C503" s="29" t="s">
        <v>96</v>
      </c>
      <c r="D503" s="2" t="s">
        <v>7</v>
      </c>
      <c r="E503" s="3">
        <v>1</v>
      </c>
    </row>
    <row r="504" spans="1:5">
      <c r="A504" s="29" t="s">
        <v>5094</v>
      </c>
      <c r="B504" s="29">
        <v>20200342</v>
      </c>
      <c r="C504" s="29" t="s">
        <v>96</v>
      </c>
      <c r="D504" s="2" t="s">
        <v>7</v>
      </c>
      <c r="E504" s="3">
        <v>1</v>
      </c>
    </row>
    <row r="505" spans="1:5">
      <c r="A505" s="29" t="s">
        <v>5094</v>
      </c>
      <c r="B505" s="29">
        <v>20200343</v>
      </c>
      <c r="C505" s="29" t="s">
        <v>96</v>
      </c>
      <c r="D505" s="2" t="s">
        <v>7</v>
      </c>
      <c r="E505" s="3">
        <v>1</v>
      </c>
    </row>
    <row r="506" spans="1:5">
      <c r="A506" s="29" t="s">
        <v>5094</v>
      </c>
      <c r="B506" s="29">
        <v>20200344</v>
      </c>
      <c r="C506" s="29" t="s">
        <v>96</v>
      </c>
      <c r="D506" s="2" t="s">
        <v>7</v>
      </c>
      <c r="E506" s="3">
        <v>1</v>
      </c>
    </row>
    <row r="507" spans="1:5">
      <c r="A507" s="29" t="s">
        <v>5094</v>
      </c>
      <c r="B507" s="29">
        <v>20200345</v>
      </c>
      <c r="C507" s="29" t="s">
        <v>96</v>
      </c>
      <c r="D507" s="2" t="s">
        <v>7</v>
      </c>
      <c r="E507" s="3">
        <v>1</v>
      </c>
    </row>
    <row r="508" spans="1:5">
      <c r="A508" s="29" t="s">
        <v>5094</v>
      </c>
      <c r="B508" s="29">
        <v>20200346</v>
      </c>
      <c r="C508" s="29" t="s">
        <v>96</v>
      </c>
      <c r="D508" s="2" t="s">
        <v>7</v>
      </c>
      <c r="E508" s="3">
        <v>1</v>
      </c>
    </row>
    <row r="509" spans="1:5">
      <c r="A509" s="29" t="s">
        <v>5094</v>
      </c>
      <c r="B509" s="29">
        <v>20200347</v>
      </c>
      <c r="C509" s="29" t="s">
        <v>96</v>
      </c>
      <c r="D509" s="2" t="s">
        <v>7</v>
      </c>
      <c r="E509" s="3">
        <v>1</v>
      </c>
    </row>
    <row r="510" spans="1:5">
      <c r="A510" s="29" t="s">
        <v>5094</v>
      </c>
      <c r="B510" s="29">
        <v>20200348</v>
      </c>
      <c r="C510" s="29" t="s">
        <v>96</v>
      </c>
      <c r="D510" s="2" t="s">
        <v>7</v>
      </c>
      <c r="E510" s="3">
        <v>1</v>
      </c>
    </row>
    <row r="511" spans="1:5">
      <c r="A511" s="29" t="s">
        <v>5094</v>
      </c>
      <c r="B511" s="29">
        <v>20200349</v>
      </c>
      <c r="C511" s="29" t="s">
        <v>96</v>
      </c>
      <c r="D511" s="2" t="s">
        <v>7</v>
      </c>
      <c r="E511" s="3">
        <v>1</v>
      </c>
    </row>
    <row r="512" spans="1:5">
      <c r="A512" s="29" t="s">
        <v>5094</v>
      </c>
      <c r="B512" s="29">
        <v>20200350</v>
      </c>
      <c r="C512" s="29" t="s">
        <v>96</v>
      </c>
      <c r="D512" s="2" t="s">
        <v>7</v>
      </c>
      <c r="E512" s="3">
        <v>1</v>
      </c>
    </row>
    <row r="513" spans="1:5">
      <c r="A513" s="29" t="s">
        <v>5094</v>
      </c>
      <c r="B513" s="29">
        <v>20200351</v>
      </c>
      <c r="C513" s="29" t="s">
        <v>96</v>
      </c>
      <c r="D513" s="2" t="s">
        <v>7</v>
      </c>
      <c r="E513" s="3">
        <v>1</v>
      </c>
    </row>
    <row r="514" spans="1:5">
      <c r="A514" s="29" t="s">
        <v>5094</v>
      </c>
      <c r="B514" s="29">
        <v>20200352</v>
      </c>
      <c r="C514" s="29" t="s">
        <v>96</v>
      </c>
      <c r="D514" s="2" t="s">
        <v>7</v>
      </c>
      <c r="E514" s="3">
        <v>1</v>
      </c>
    </row>
    <row r="515" spans="1:5">
      <c r="A515" s="29" t="s">
        <v>5094</v>
      </c>
      <c r="B515" s="29">
        <v>20200353</v>
      </c>
      <c r="C515" s="29" t="s">
        <v>96</v>
      </c>
      <c r="D515" s="2" t="s">
        <v>7</v>
      </c>
      <c r="E515" s="3">
        <v>1</v>
      </c>
    </row>
    <row r="516" spans="1:5">
      <c r="A516" s="29" t="s">
        <v>5094</v>
      </c>
      <c r="B516" s="29">
        <v>20200354</v>
      </c>
      <c r="C516" s="29" t="s">
        <v>96</v>
      </c>
      <c r="D516" s="2" t="s">
        <v>7</v>
      </c>
      <c r="E516" s="3">
        <v>1</v>
      </c>
    </row>
    <row r="517" spans="1:5">
      <c r="A517" s="29" t="s">
        <v>5094</v>
      </c>
      <c r="B517" s="29">
        <v>20200355</v>
      </c>
      <c r="C517" s="29" t="s">
        <v>96</v>
      </c>
      <c r="D517" s="2" t="s">
        <v>7</v>
      </c>
      <c r="E517" s="3">
        <v>1</v>
      </c>
    </row>
    <row r="518" spans="1:5">
      <c r="A518" s="29" t="s">
        <v>5094</v>
      </c>
      <c r="B518" s="29">
        <v>20200356</v>
      </c>
      <c r="C518" s="29" t="s">
        <v>96</v>
      </c>
      <c r="D518" s="2" t="s">
        <v>7</v>
      </c>
      <c r="E518" s="3">
        <v>1</v>
      </c>
    </row>
    <row r="519" spans="1:5">
      <c r="A519" s="29" t="s">
        <v>5094</v>
      </c>
      <c r="B519" s="29">
        <v>20200357</v>
      </c>
      <c r="C519" s="29" t="s">
        <v>96</v>
      </c>
      <c r="D519" s="2" t="s">
        <v>7</v>
      </c>
      <c r="E519" s="3">
        <v>1</v>
      </c>
    </row>
    <row r="520" spans="1:5">
      <c r="A520" s="29" t="s">
        <v>5094</v>
      </c>
      <c r="B520" s="29">
        <v>20200358</v>
      </c>
      <c r="C520" s="29" t="s">
        <v>96</v>
      </c>
      <c r="D520" s="2" t="s">
        <v>7</v>
      </c>
      <c r="E520" s="3">
        <v>1</v>
      </c>
    </row>
    <row r="521" spans="1:5">
      <c r="A521" s="29" t="s">
        <v>5094</v>
      </c>
      <c r="B521" s="29">
        <v>20200359</v>
      </c>
      <c r="C521" s="29" t="s">
        <v>96</v>
      </c>
      <c r="D521" s="2" t="s">
        <v>7</v>
      </c>
      <c r="E521" s="3">
        <v>1</v>
      </c>
    </row>
    <row r="522" spans="1:5">
      <c r="A522" s="29" t="s">
        <v>5094</v>
      </c>
      <c r="B522" s="29">
        <v>20200360</v>
      </c>
      <c r="C522" s="29" t="s">
        <v>96</v>
      </c>
      <c r="D522" s="2" t="s">
        <v>7</v>
      </c>
      <c r="E522" s="3">
        <v>1</v>
      </c>
    </row>
    <row r="523" spans="1:5">
      <c r="A523" s="29" t="s">
        <v>5094</v>
      </c>
      <c r="B523" s="29">
        <v>20200361</v>
      </c>
      <c r="C523" s="29" t="s">
        <v>96</v>
      </c>
      <c r="D523" s="2" t="s">
        <v>7</v>
      </c>
      <c r="E523" s="3">
        <v>1</v>
      </c>
    </row>
    <row r="524" spans="1:5">
      <c r="A524" s="29" t="s">
        <v>5094</v>
      </c>
      <c r="B524" s="29">
        <v>20200362</v>
      </c>
      <c r="C524" s="29" t="s">
        <v>96</v>
      </c>
      <c r="D524" s="2" t="s">
        <v>7</v>
      </c>
      <c r="E524" s="3">
        <v>1</v>
      </c>
    </row>
    <row r="525" spans="1:5">
      <c r="A525" s="29" t="s">
        <v>5094</v>
      </c>
      <c r="B525" s="29">
        <v>20200363</v>
      </c>
      <c r="C525" s="29" t="s">
        <v>96</v>
      </c>
      <c r="D525" s="2" t="s">
        <v>7</v>
      </c>
      <c r="E525" s="3">
        <v>1</v>
      </c>
    </row>
    <row r="526" spans="1:5">
      <c r="A526" s="29" t="s">
        <v>5094</v>
      </c>
      <c r="B526" s="29">
        <v>20200364</v>
      </c>
      <c r="C526" s="29" t="s">
        <v>96</v>
      </c>
      <c r="D526" s="2" t="s">
        <v>7</v>
      </c>
      <c r="E526" s="3">
        <v>1</v>
      </c>
    </row>
    <row r="527" spans="1:5">
      <c r="A527" s="29" t="s">
        <v>5094</v>
      </c>
      <c r="B527" s="29">
        <v>20200365</v>
      </c>
      <c r="C527" s="29" t="s">
        <v>96</v>
      </c>
      <c r="D527" s="2" t="s">
        <v>7</v>
      </c>
      <c r="E527" s="3">
        <v>1</v>
      </c>
    </row>
    <row r="528" spans="1:5">
      <c r="A528" s="29" t="s">
        <v>5094</v>
      </c>
      <c r="B528" s="29">
        <v>20200366</v>
      </c>
      <c r="C528" s="29" t="s">
        <v>96</v>
      </c>
      <c r="D528" s="2" t="s">
        <v>7</v>
      </c>
      <c r="E528" s="3">
        <v>1</v>
      </c>
    </row>
    <row r="529" spans="1:5">
      <c r="A529" s="29" t="s">
        <v>5094</v>
      </c>
      <c r="B529" s="29">
        <v>20200367</v>
      </c>
      <c r="C529" s="29" t="s">
        <v>96</v>
      </c>
      <c r="D529" s="2" t="s">
        <v>7</v>
      </c>
      <c r="E529" s="3">
        <v>1</v>
      </c>
    </row>
    <row r="530" spans="1:5">
      <c r="A530" s="29" t="s">
        <v>5094</v>
      </c>
      <c r="B530" s="29">
        <v>20200368</v>
      </c>
      <c r="C530" s="29" t="s">
        <v>96</v>
      </c>
      <c r="D530" s="2" t="s">
        <v>7</v>
      </c>
      <c r="E530" s="3">
        <v>1</v>
      </c>
    </row>
    <row r="531" spans="1:5">
      <c r="A531" s="29" t="s">
        <v>5094</v>
      </c>
      <c r="B531" s="29">
        <v>20200369</v>
      </c>
      <c r="C531" s="29" t="s">
        <v>96</v>
      </c>
      <c r="D531" s="2" t="s">
        <v>7</v>
      </c>
      <c r="E531" s="3">
        <v>1</v>
      </c>
    </row>
    <row r="532" spans="1:5">
      <c r="A532" s="29" t="s">
        <v>5094</v>
      </c>
      <c r="B532" s="29">
        <v>20200370</v>
      </c>
      <c r="C532" s="29" t="s">
        <v>96</v>
      </c>
      <c r="D532" s="2" t="s">
        <v>7</v>
      </c>
      <c r="E532" s="3">
        <v>1</v>
      </c>
    </row>
    <row r="533" spans="1:5">
      <c r="A533" s="29" t="s">
        <v>5094</v>
      </c>
      <c r="B533" s="29">
        <v>20200371</v>
      </c>
      <c r="C533" s="29" t="s">
        <v>96</v>
      </c>
      <c r="D533" s="2" t="s">
        <v>7</v>
      </c>
      <c r="E533" s="3">
        <v>1</v>
      </c>
    </row>
    <row r="534" spans="1:5">
      <c r="A534" s="29" t="s">
        <v>5094</v>
      </c>
      <c r="B534" s="29">
        <v>20200372</v>
      </c>
      <c r="C534" s="29" t="s">
        <v>96</v>
      </c>
      <c r="D534" s="2" t="s">
        <v>7</v>
      </c>
      <c r="E534" s="3">
        <v>1</v>
      </c>
    </row>
    <row r="535" spans="1:5">
      <c r="A535" s="29" t="s">
        <v>5094</v>
      </c>
      <c r="B535" s="29">
        <v>20200373</v>
      </c>
      <c r="C535" s="29" t="s">
        <v>96</v>
      </c>
      <c r="D535" s="2" t="s">
        <v>7</v>
      </c>
      <c r="E535" s="3">
        <v>1</v>
      </c>
    </row>
    <row r="536" spans="1:5">
      <c r="A536" s="29" t="s">
        <v>5094</v>
      </c>
      <c r="B536" s="29">
        <v>20200374</v>
      </c>
      <c r="C536" s="29" t="s">
        <v>96</v>
      </c>
      <c r="D536" s="2" t="s">
        <v>7</v>
      </c>
      <c r="E536" s="3">
        <v>1</v>
      </c>
    </row>
    <row r="537" spans="1:5">
      <c r="A537" s="29" t="s">
        <v>5094</v>
      </c>
      <c r="B537" s="29">
        <v>20200375</v>
      </c>
      <c r="C537" s="29" t="s">
        <v>96</v>
      </c>
      <c r="D537" s="2" t="s">
        <v>7</v>
      </c>
      <c r="E537" s="3">
        <v>1</v>
      </c>
    </row>
    <row r="538" spans="1:5">
      <c r="A538" s="29" t="s">
        <v>5094</v>
      </c>
      <c r="B538" s="29">
        <v>20200376</v>
      </c>
      <c r="C538" s="29" t="s">
        <v>96</v>
      </c>
      <c r="D538" s="2" t="s">
        <v>7</v>
      </c>
      <c r="E538" s="3">
        <v>1</v>
      </c>
    </row>
    <row r="539" spans="1:5">
      <c r="A539" s="29" t="s">
        <v>5094</v>
      </c>
      <c r="B539" s="29">
        <v>20200377</v>
      </c>
      <c r="C539" s="29" t="s">
        <v>96</v>
      </c>
      <c r="D539" s="2" t="s">
        <v>7</v>
      </c>
      <c r="E539" s="3">
        <v>1</v>
      </c>
    </row>
    <row r="540" spans="1:5">
      <c r="A540" s="29" t="s">
        <v>5094</v>
      </c>
      <c r="B540" s="29">
        <v>20200378</v>
      </c>
      <c r="C540" s="29" t="s">
        <v>96</v>
      </c>
      <c r="D540" s="2" t="s">
        <v>7</v>
      </c>
      <c r="E540" s="3">
        <v>1</v>
      </c>
    </row>
    <row r="541" spans="1:5">
      <c r="A541" s="29" t="s">
        <v>5094</v>
      </c>
      <c r="B541" s="29">
        <v>20200379</v>
      </c>
      <c r="C541" s="29" t="s">
        <v>96</v>
      </c>
      <c r="D541" s="2" t="s">
        <v>7</v>
      </c>
      <c r="E541" s="3">
        <v>1</v>
      </c>
    </row>
    <row r="542" spans="1:5">
      <c r="A542" s="29" t="s">
        <v>5094</v>
      </c>
      <c r="B542" s="29">
        <v>20200380</v>
      </c>
      <c r="C542" s="29" t="s">
        <v>96</v>
      </c>
      <c r="D542" s="2" t="s">
        <v>7</v>
      </c>
      <c r="E542" s="3">
        <v>1</v>
      </c>
    </row>
    <row r="543" spans="1:5">
      <c r="A543" s="29" t="s">
        <v>5094</v>
      </c>
      <c r="B543" s="29">
        <v>20200381</v>
      </c>
      <c r="C543" s="29" t="s">
        <v>96</v>
      </c>
      <c r="D543" s="2" t="s">
        <v>7</v>
      </c>
      <c r="E543" s="3">
        <v>1</v>
      </c>
    </row>
    <row r="544" spans="1:5">
      <c r="A544" s="29" t="s">
        <v>5094</v>
      </c>
      <c r="B544" s="29">
        <v>20200382</v>
      </c>
      <c r="C544" s="29" t="s">
        <v>96</v>
      </c>
      <c r="D544" s="2" t="s">
        <v>7</v>
      </c>
      <c r="E544" s="3">
        <v>1</v>
      </c>
    </row>
    <row r="545" spans="1:5">
      <c r="A545" s="29" t="s">
        <v>5094</v>
      </c>
      <c r="B545" s="29">
        <v>20200383</v>
      </c>
      <c r="C545" s="29" t="s">
        <v>96</v>
      </c>
      <c r="D545" s="2" t="s">
        <v>7</v>
      </c>
      <c r="E545" s="3">
        <v>1</v>
      </c>
    </row>
    <row r="546" spans="1:5">
      <c r="A546" s="29" t="s">
        <v>5094</v>
      </c>
      <c r="B546" s="29">
        <v>20200384</v>
      </c>
      <c r="C546" s="29" t="s">
        <v>96</v>
      </c>
      <c r="D546" s="2" t="s">
        <v>7</v>
      </c>
      <c r="E546" s="3">
        <v>1</v>
      </c>
    </row>
    <row r="547" spans="1:5">
      <c r="A547" s="29" t="s">
        <v>5094</v>
      </c>
      <c r="B547" s="29">
        <v>20200385</v>
      </c>
      <c r="C547" s="29" t="s">
        <v>96</v>
      </c>
      <c r="D547" s="2" t="s">
        <v>7</v>
      </c>
      <c r="E547" s="3">
        <v>1</v>
      </c>
    </row>
    <row r="548" spans="1:5">
      <c r="A548" s="29" t="s">
        <v>5094</v>
      </c>
      <c r="B548" s="29">
        <v>20200386</v>
      </c>
      <c r="C548" s="29" t="s">
        <v>96</v>
      </c>
      <c r="D548" s="2" t="s">
        <v>7</v>
      </c>
      <c r="E548" s="3">
        <v>1</v>
      </c>
    </row>
    <row r="549" spans="1:5">
      <c r="A549" s="29" t="s">
        <v>5094</v>
      </c>
      <c r="B549" s="29">
        <v>20200387</v>
      </c>
      <c r="C549" s="29" t="s">
        <v>96</v>
      </c>
      <c r="D549" s="2" t="s">
        <v>7</v>
      </c>
      <c r="E549" s="3">
        <v>1</v>
      </c>
    </row>
    <row r="550" spans="1:5">
      <c r="A550" s="29" t="s">
        <v>5094</v>
      </c>
      <c r="B550" s="29">
        <v>20200388</v>
      </c>
      <c r="C550" s="29" t="s">
        <v>96</v>
      </c>
      <c r="D550" s="2" t="s">
        <v>7</v>
      </c>
      <c r="E550" s="3">
        <v>1</v>
      </c>
    </row>
    <row r="551" spans="1:5">
      <c r="A551" s="29" t="s">
        <v>5094</v>
      </c>
      <c r="B551" s="29">
        <v>20200389</v>
      </c>
      <c r="C551" s="29" t="s">
        <v>96</v>
      </c>
      <c r="D551" s="2" t="s">
        <v>7</v>
      </c>
      <c r="E551" s="3">
        <v>1</v>
      </c>
    </row>
    <row r="552" spans="1:5">
      <c r="A552" s="29" t="s">
        <v>5094</v>
      </c>
      <c r="B552" s="29">
        <v>20200390</v>
      </c>
      <c r="C552" s="29" t="s">
        <v>96</v>
      </c>
      <c r="D552" s="2" t="s">
        <v>7</v>
      </c>
      <c r="E552" s="3">
        <v>1</v>
      </c>
    </row>
    <row r="553" spans="1:5">
      <c r="A553" s="29" t="s">
        <v>5094</v>
      </c>
      <c r="B553" s="29">
        <v>20200391</v>
      </c>
      <c r="C553" s="29" t="s">
        <v>96</v>
      </c>
      <c r="D553" s="2" t="s">
        <v>7</v>
      </c>
      <c r="E553" s="3">
        <v>1</v>
      </c>
    </row>
    <row r="554" spans="1:5">
      <c r="A554" s="29" t="s">
        <v>5094</v>
      </c>
      <c r="B554" s="29">
        <v>20200392</v>
      </c>
      <c r="C554" s="29" t="s">
        <v>96</v>
      </c>
      <c r="D554" s="2" t="s">
        <v>7</v>
      </c>
      <c r="E554" s="3">
        <v>1</v>
      </c>
    </row>
    <row r="555" spans="1:5">
      <c r="A555" s="29" t="s">
        <v>5094</v>
      </c>
      <c r="B555" s="29">
        <v>20200393</v>
      </c>
      <c r="C555" s="29" t="s">
        <v>96</v>
      </c>
      <c r="D555" s="2" t="s">
        <v>7</v>
      </c>
      <c r="E555" s="3">
        <v>1</v>
      </c>
    </row>
    <row r="556" spans="1:5">
      <c r="A556" s="29" t="s">
        <v>5094</v>
      </c>
      <c r="B556" s="29">
        <v>20200394</v>
      </c>
      <c r="C556" s="29" t="s">
        <v>96</v>
      </c>
      <c r="D556" s="2" t="s">
        <v>7</v>
      </c>
      <c r="E556" s="3">
        <v>1</v>
      </c>
    </row>
    <row r="557" spans="1:5">
      <c r="A557" s="29" t="s">
        <v>5094</v>
      </c>
      <c r="B557" s="29">
        <v>20200395</v>
      </c>
      <c r="C557" s="29" t="s">
        <v>96</v>
      </c>
      <c r="D557" s="2" t="s">
        <v>7</v>
      </c>
      <c r="E557" s="3">
        <v>1</v>
      </c>
    </row>
    <row r="558" spans="1:5">
      <c r="A558" s="29" t="s">
        <v>5094</v>
      </c>
      <c r="B558" s="29">
        <v>20200396</v>
      </c>
      <c r="C558" s="29" t="s">
        <v>96</v>
      </c>
      <c r="D558" s="2" t="s">
        <v>7</v>
      </c>
      <c r="E558" s="3">
        <v>1</v>
      </c>
    </row>
    <row r="559" spans="1:5">
      <c r="A559" s="29" t="s">
        <v>5094</v>
      </c>
      <c r="B559" s="29">
        <v>20210013</v>
      </c>
      <c r="C559" s="29" t="s">
        <v>5095</v>
      </c>
      <c r="D559" s="2" t="s">
        <v>7</v>
      </c>
      <c r="E559" s="3">
        <v>1</v>
      </c>
    </row>
    <row r="560" spans="1:5">
      <c r="A560" s="29" t="s">
        <v>5094</v>
      </c>
      <c r="B560" s="29">
        <v>20130199</v>
      </c>
      <c r="C560" s="29" t="s">
        <v>96</v>
      </c>
      <c r="D560" s="2" t="s">
        <v>7</v>
      </c>
      <c r="E560" s="3">
        <v>1</v>
      </c>
    </row>
    <row r="561" spans="1:5">
      <c r="A561" s="29" t="s">
        <v>5094</v>
      </c>
      <c r="B561" s="29">
        <v>20130200</v>
      </c>
      <c r="C561" s="29" t="s">
        <v>96</v>
      </c>
      <c r="D561" s="2" t="s">
        <v>7</v>
      </c>
      <c r="E561" s="3">
        <v>1</v>
      </c>
    </row>
    <row r="562" spans="1:5">
      <c r="A562" s="29" t="s">
        <v>5094</v>
      </c>
      <c r="B562" s="29">
        <v>20130289</v>
      </c>
      <c r="C562" s="29" t="s">
        <v>96</v>
      </c>
      <c r="D562" s="2" t="s">
        <v>7</v>
      </c>
      <c r="E562" s="3">
        <v>1</v>
      </c>
    </row>
    <row r="563" spans="1:5">
      <c r="A563" s="29" t="s">
        <v>5094</v>
      </c>
      <c r="B563" s="29">
        <v>20170949</v>
      </c>
      <c r="C563" s="29" t="s">
        <v>96</v>
      </c>
      <c r="D563" s="2" t="s">
        <v>7</v>
      </c>
      <c r="E563" s="3">
        <v>1</v>
      </c>
    </row>
    <row r="564" spans="1:5">
      <c r="A564" s="29" t="s">
        <v>5094</v>
      </c>
      <c r="B564" s="29">
        <v>20170950</v>
      </c>
      <c r="C564" s="29" t="s">
        <v>96</v>
      </c>
      <c r="D564" s="2" t="s">
        <v>7</v>
      </c>
      <c r="E564" s="3">
        <v>1</v>
      </c>
    </row>
    <row r="565" spans="1:5">
      <c r="A565" s="29" t="s">
        <v>5094</v>
      </c>
      <c r="B565" s="29">
        <v>20170951</v>
      </c>
      <c r="C565" s="29" t="s">
        <v>96</v>
      </c>
      <c r="D565" s="2" t="s">
        <v>7</v>
      </c>
      <c r="E565" s="3">
        <v>1</v>
      </c>
    </row>
    <row r="566" spans="1:5">
      <c r="A566" s="29" t="s">
        <v>5094</v>
      </c>
      <c r="B566" s="29">
        <v>20170952</v>
      </c>
      <c r="C566" s="29" t="s">
        <v>96</v>
      </c>
      <c r="D566" s="2" t="s">
        <v>7</v>
      </c>
      <c r="E566" s="3">
        <v>1</v>
      </c>
    </row>
    <row r="567" spans="1:5">
      <c r="A567" s="29" t="s">
        <v>5094</v>
      </c>
      <c r="B567" s="29">
        <v>20170953</v>
      </c>
      <c r="C567" s="29" t="s">
        <v>96</v>
      </c>
      <c r="D567" s="2" t="s">
        <v>7</v>
      </c>
      <c r="E567" s="3">
        <v>1</v>
      </c>
    </row>
    <row r="568" spans="1:5">
      <c r="A568" s="29" t="s">
        <v>5094</v>
      </c>
      <c r="B568" s="29">
        <v>20170954</v>
      </c>
      <c r="C568" s="29" t="s">
        <v>96</v>
      </c>
      <c r="D568" s="2" t="s">
        <v>7</v>
      </c>
      <c r="E568" s="3">
        <v>1</v>
      </c>
    </row>
    <row r="569" spans="1:5">
      <c r="A569" s="29" t="s">
        <v>5094</v>
      </c>
      <c r="B569" s="29">
        <v>20170955</v>
      </c>
      <c r="C569" s="29" t="s">
        <v>96</v>
      </c>
      <c r="D569" s="2" t="s">
        <v>7</v>
      </c>
      <c r="E569" s="3">
        <v>1</v>
      </c>
    </row>
    <row r="570" spans="1:5">
      <c r="A570" s="29" t="s">
        <v>5094</v>
      </c>
      <c r="B570" s="29">
        <v>20170956</v>
      </c>
      <c r="C570" s="29" t="s">
        <v>96</v>
      </c>
      <c r="D570" s="2" t="s">
        <v>7</v>
      </c>
      <c r="E570" s="3">
        <v>1</v>
      </c>
    </row>
    <row r="571" spans="1:5">
      <c r="A571" s="29" t="s">
        <v>5094</v>
      </c>
      <c r="B571" s="29">
        <v>20170957</v>
      </c>
      <c r="C571" s="29" t="s">
        <v>96</v>
      </c>
      <c r="D571" s="2" t="s">
        <v>7</v>
      </c>
      <c r="E571" s="3">
        <v>1</v>
      </c>
    </row>
    <row r="572" spans="1:5">
      <c r="A572" s="29" t="s">
        <v>5094</v>
      </c>
      <c r="B572" s="29">
        <v>20170958</v>
      </c>
      <c r="C572" s="29" t="s">
        <v>96</v>
      </c>
      <c r="D572" s="2" t="s">
        <v>7</v>
      </c>
      <c r="E572" s="3">
        <v>1</v>
      </c>
    </row>
    <row r="573" spans="1:5">
      <c r="A573" s="29" t="s">
        <v>5094</v>
      </c>
      <c r="B573" s="29">
        <v>20170959</v>
      </c>
      <c r="C573" s="29" t="s">
        <v>96</v>
      </c>
      <c r="D573" s="2" t="s">
        <v>7</v>
      </c>
      <c r="E573" s="3">
        <v>1</v>
      </c>
    </row>
    <row r="574" spans="1:5">
      <c r="A574" s="29" t="s">
        <v>5094</v>
      </c>
      <c r="B574" s="29">
        <v>20170960</v>
      </c>
      <c r="C574" s="29" t="s">
        <v>96</v>
      </c>
      <c r="D574" s="2" t="s">
        <v>7</v>
      </c>
      <c r="E574" s="3">
        <v>1</v>
      </c>
    </row>
    <row r="575" spans="1:5">
      <c r="A575" s="29" t="s">
        <v>5094</v>
      </c>
      <c r="B575" s="29">
        <v>20170961</v>
      </c>
      <c r="C575" s="29" t="s">
        <v>96</v>
      </c>
      <c r="D575" s="2" t="s">
        <v>7</v>
      </c>
      <c r="E575" s="3">
        <v>1</v>
      </c>
    </row>
    <row r="576" spans="1:5">
      <c r="A576" s="29" t="s">
        <v>5094</v>
      </c>
      <c r="B576" s="29">
        <v>20170962</v>
      </c>
      <c r="C576" s="29" t="s">
        <v>96</v>
      </c>
      <c r="D576" s="2" t="s">
        <v>7</v>
      </c>
      <c r="E576" s="3">
        <v>1</v>
      </c>
    </row>
    <row r="577" spans="1:5">
      <c r="A577" s="29" t="s">
        <v>5094</v>
      </c>
      <c r="B577" s="29">
        <v>20170963</v>
      </c>
      <c r="C577" s="29" t="s">
        <v>96</v>
      </c>
      <c r="D577" s="2" t="s">
        <v>7</v>
      </c>
      <c r="E577" s="3">
        <v>1</v>
      </c>
    </row>
    <row r="578" spans="1:5">
      <c r="A578" s="29" t="s">
        <v>5094</v>
      </c>
      <c r="B578" s="29">
        <v>20170964</v>
      </c>
      <c r="C578" s="29" t="s">
        <v>96</v>
      </c>
      <c r="D578" s="2" t="s">
        <v>7</v>
      </c>
      <c r="E578" s="3">
        <v>1</v>
      </c>
    </row>
    <row r="579" spans="1:5">
      <c r="A579" s="29" t="s">
        <v>5094</v>
      </c>
      <c r="B579" s="29">
        <v>20170965</v>
      </c>
      <c r="C579" s="29" t="s">
        <v>96</v>
      </c>
      <c r="D579" s="2" t="s">
        <v>7</v>
      </c>
      <c r="E579" s="3">
        <v>1</v>
      </c>
    </row>
    <row r="580" spans="1:5">
      <c r="A580" s="29" t="s">
        <v>5094</v>
      </c>
      <c r="B580" s="29">
        <v>20170966</v>
      </c>
      <c r="C580" s="29" t="s">
        <v>96</v>
      </c>
      <c r="D580" s="2" t="s">
        <v>7</v>
      </c>
      <c r="E580" s="3">
        <v>1</v>
      </c>
    </row>
    <row r="581" spans="1:5">
      <c r="A581" s="29" t="s">
        <v>5094</v>
      </c>
      <c r="B581" s="29">
        <v>20170967</v>
      </c>
      <c r="C581" s="29" t="s">
        <v>96</v>
      </c>
      <c r="D581" s="2" t="s">
        <v>7</v>
      </c>
      <c r="E581" s="3">
        <v>1</v>
      </c>
    </row>
    <row r="582" spans="1:5">
      <c r="A582" s="29" t="s">
        <v>5094</v>
      </c>
      <c r="B582" s="29">
        <v>20170968</v>
      </c>
      <c r="C582" s="29" t="s">
        <v>96</v>
      </c>
      <c r="D582" s="2" t="s">
        <v>7</v>
      </c>
      <c r="E582" s="3">
        <v>1</v>
      </c>
    </row>
    <row r="583" spans="1:5">
      <c r="A583" s="29" t="s">
        <v>5094</v>
      </c>
      <c r="B583" s="29">
        <v>20170969</v>
      </c>
      <c r="C583" s="29" t="s">
        <v>96</v>
      </c>
      <c r="D583" s="2" t="s">
        <v>7</v>
      </c>
      <c r="E583" s="3">
        <v>1</v>
      </c>
    </row>
    <row r="584" spans="1:5">
      <c r="A584" s="29" t="s">
        <v>5094</v>
      </c>
      <c r="B584" s="29">
        <v>20170970</v>
      </c>
      <c r="C584" s="29" t="s">
        <v>96</v>
      </c>
      <c r="D584" s="2" t="s">
        <v>7</v>
      </c>
      <c r="E584" s="3">
        <v>1</v>
      </c>
    </row>
    <row r="585" spans="1:5">
      <c r="A585" s="29" t="s">
        <v>5094</v>
      </c>
      <c r="B585" s="29">
        <v>20170971</v>
      </c>
      <c r="C585" s="29" t="s">
        <v>96</v>
      </c>
      <c r="D585" s="2" t="s">
        <v>7</v>
      </c>
      <c r="E585" s="3">
        <v>1</v>
      </c>
    </row>
    <row r="586" spans="1:5">
      <c r="A586" s="29" t="s">
        <v>5094</v>
      </c>
      <c r="B586" s="29">
        <v>20170972</v>
      </c>
      <c r="C586" s="29" t="s">
        <v>96</v>
      </c>
      <c r="D586" s="2" t="s">
        <v>7</v>
      </c>
      <c r="E586" s="3">
        <v>1</v>
      </c>
    </row>
    <row r="587" spans="1:5">
      <c r="A587" s="29" t="s">
        <v>5094</v>
      </c>
      <c r="B587" s="29">
        <v>20170973</v>
      </c>
      <c r="C587" s="29" t="s">
        <v>96</v>
      </c>
      <c r="D587" s="2" t="s">
        <v>7</v>
      </c>
      <c r="E587" s="3">
        <v>1</v>
      </c>
    </row>
    <row r="588" spans="1:5">
      <c r="A588" s="29" t="s">
        <v>5094</v>
      </c>
      <c r="B588" s="29">
        <v>20170974</v>
      </c>
      <c r="C588" s="29" t="s">
        <v>96</v>
      </c>
      <c r="D588" s="2" t="s">
        <v>7</v>
      </c>
      <c r="E588" s="3">
        <v>1</v>
      </c>
    </row>
    <row r="589" spans="1:5">
      <c r="A589" s="29" t="s">
        <v>5094</v>
      </c>
      <c r="B589" s="29">
        <v>20170975</v>
      </c>
      <c r="C589" s="29" t="s">
        <v>96</v>
      </c>
      <c r="D589" s="2" t="s">
        <v>7</v>
      </c>
      <c r="E589" s="3">
        <v>1</v>
      </c>
    </row>
    <row r="590" spans="1:5">
      <c r="A590" s="29" t="s">
        <v>5094</v>
      </c>
      <c r="B590" s="29">
        <v>20170976</v>
      </c>
      <c r="C590" s="29" t="s">
        <v>96</v>
      </c>
      <c r="D590" s="2" t="s">
        <v>7</v>
      </c>
      <c r="E590" s="3">
        <v>1</v>
      </c>
    </row>
    <row r="591" spans="1:5">
      <c r="A591" s="29" t="s">
        <v>5094</v>
      </c>
      <c r="B591" s="29">
        <v>20170977</v>
      </c>
      <c r="C591" s="29" t="s">
        <v>96</v>
      </c>
      <c r="D591" s="2" t="s">
        <v>7</v>
      </c>
      <c r="E591" s="3">
        <v>1</v>
      </c>
    </row>
    <row r="592" spans="1:5">
      <c r="A592" s="29" t="s">
        <v>5094</v>
      </c>
      <c r="B592" s="29">
        <v>20170978</v>
      </c>
      <c r="C592" s="29" t="s">
        <v>96</v>
      </c>
      <c r="D592" s="2" t="s">
        <v>7</v>
      </c>
      <c r="E592" s="3">
        <v>1</v>
      </c>
    </row>
    <row r="593" spans="1:5">
      <c r="A593" s="29" t="s">
        <v>5094</v>
      </c>
      <c r="B593" s="29">
        <v>20170979</v>
      </c>
      <c r="C593" s="29" t="s">
        <v>96</v>
      </c>
      <c r="D593" s="2" t="s">
        <v>7</v>
      </c>
      <c r="E593" s="3">
        <v>1</v>
      </c>
    </row>
    <row r="594" spans="1:5">
      <c r="A594" s="29" t="s">
        <v>5094</v>
      </c>
      <c r="B594" s="29">
        <v>20170980</v>
      </c>
      <c r="C594" s="29" t="s">
        <v>96</v>
      </c>
      <c r="D594" s="2" t="s">
        <v>7</v>
      </c>
      <c r="E594" s="3">
        <v>1</v>
      </c>
    </row>
    <row r="595" spans="1:5">
      <c r="A595" s="29" t="s">
        <v>5094</v>
      </c>
      <c r="B595" s="29">
        <v>20170981</v>
      </c>
      <c r="C595" s="29" t="s">
        <v>96</v>
      </c>
      <c r="D595" s="2" t="s">
        <v>7</v>
      </c>
      <c r="E595" s="3">
        <v>1</v>
      </c>
    </row>
    <row r="596" spans="1:5">
      <c r="A596" s="29" t="s">
        <v>5094</v>
      </c>
      <c r="B596" s="29">
        <v>20170982</v>
      </c>
      <c r="C596" s="29" t="s">
        <v>96</v>
      </c>
      <c r="D596" s="2" t="s">
        <v>7</v>
      </c>
      <c r="E596" s="3">
        <v>1</v>
      </c>
    </row>
    <row r="597" spans="1:5">
      <c r="A597" s="29" t="s">
        <v>5094</v>
      </c>
      <c r="B597" s="29">
        <v>20170983</v>
      </c>
      <c r="C597" s="29" t="s">
        <v>96</v>
      </c>
      <c r="D597" s="2" t="s">
        <v>7</v>
      </c>
      <c r="E597" s="3">
        <v>1</v>
      </c>
    </row>
    <row r="598" spans="1:5">
      <c r="A598" s="29" t="s">
        <v>5094</v>
      </c>
      <c r="B598" s="29">
        <v>20170984</v>
      </c>
      <c r="C598" s="29" t="s">
        <v>96</v>
      </c>
      <c r="D598" s="2" t="s">
        <v>7</v>
      </c>
      <c r="E598" s="3">
        <v>1</v>
      </c>
    </row>
    <row r="599" spans="1:5">
      <c r="A599" s="29" t="s">
        <v>5094</v>
      </c>
      <c r="B599" s="29">
        <v>20170985</v>
      </c>
      <c r="C599" s="29" t="s">
        <v>96</v>
      </c>
      <c r="D599" s="2" t="s">
        <v>7</v>
      </c>
      <c r="E599" s="3">
        <v>1</v>
      </c>
    </row>
    <row r="600" spans="1:5">
      <c r="A600" s="29" t="s">
        <v>5094</v>
      </c>
      <c r="B600" s="29">
        <v>20170986</v>
      </c>
      <c r="C600" s="29" t="s">
        <v>96</v>
      </c>
      <c r="D600" s="2" t="s">
        <v>7</v>
      </c>
      <c r="E600" s="3">
        <v>1</v>
      </c>
    </row>
    <row r="601" spans="1:5">
      <c r="A601" s="29" t="s">
        <v>5094</v>
      </c>
      <c r="B601" s="29">
        <v>20170987</v>
      </c>
      <c r="C601" s="29" t="s">
        <v>96</v>
      </c>
      <c r="D601" s="2" t="s">
        <v>7</v>
      </c>
      <c r="E601" s="3">
        <v>1</v>
      </c>
    </row>
    <row r="602" spans="1:5">
      <c r="A602" s="29" t="s">
        <v>5094</v>
      </c>
      <c r="B602" s="29">
        <v>20170988</v>
      </c>
      <c r="C602" s="29" t="s">
        <v>96</v>
      </c>
      <c r="D602" s="2" t="s">
        <v>7</v>
      </c>
      <c r="E602" s="3">
        <v>1</v>
      </c>
    </row>
    <row r="603" spans="1:5">
      <c r="A603" s="29" t="s">
        <v>5094</v>
      </c>
      <c r="B603" s="29">
        <v>20170989</v>
      </c>
      <c r="C603" s="29" t="s">
        <v>96</v>
      </c>
      <c r="D603" s="2" t="s">
        <v>7</v>
      </c>
      <c r="E603" s="3">
        <v>1</v>
      </c>
    </row>
    <row r="604" spans="1:5">
      <c r="A604" s="29" t="s">
        <v>5094</v>
      </c>
      <c r="B604" s="29">
        <v>20170990</v>
      </c>
      <c r="C604" s="29" t="s">
        <v>96</v>
      </c>
      <c r="D604" s="2" t="s">
        <v>7</v>
      </c>
      <c r="E604" s="3">
        <v>1</v>
      </c>
    </row>
    <row r="605" spans="1:5">
      <c r="A605" s="29" t="s">
        <v>5094</v>
      </c>
      <c r="B605" s="29">
        <v>20170991</v>
      </c>
      <c r="C605" s="29" t="s">
        <v>96</v>
      </c>
      <c r="D605" s="2" t="s">
        <v>7</v>
      </c>
      <c r="E605" s="3">
        <v>1</v>
      </c>
    </row>
    <row r="606" spans="1:5">
      <c r="A606" s="29" t="s">
        <v>5094</v>
      </c>
      <c r="B606" s="29">
        <v>20170992</v>
      </c>
      <c r="C606" s="29" t="s">
        <v>96</v>
      </c>
      <c r="D606" s="2" t="s">
        <v>7</v>
      </c>
      <c r="E606" s="3">
        <v>1</v>
      </c>
    </row>
    <row r="607" spans="1:5">
      <c r="A607" s="29" t="s">
        <v>5094</v>
      </c>
      <c r="B607" s="29">
        <v>20170993</v>
      </c>
      <c r="C607" s="29" t="s">
        <v>96</v>
      </c>
      <c r="D607" s="2" t="s">
        <v>7</v>
      </c>
      <c r="E607" s="3">
        <v>1</v>
      </c>
    </row>
    <row r="608" spans="1:5">
      <c r="A608" s="29" t="s">
        <v>5094</v>
      </c>
      <c r="B608" s="29">
        <v>20170994</v>
      </c>
      <c r="C608" s="29" t="s">
        <v>96</v>
      </c>
      <c r="D608" s="2" t="s">
        <v>7</v>
      </c>
      <c r="E608" s="3">
        <v>1</v>
      </c>
    </row>
    <row r="609" spans="1:5">
      <c r="A609" s="29" t="s">
        <v>5094</v>
      </c>
      <c r="B609" s="29">
        <v>20170995</v>
      </c>
      <c r="C609" s="29" t="s">
        <v>96</v>
      </c>
      <c r="D609" s="2" t="s">
        <v>7</v>
      </c>
      <c r="E609" s="3">
        <v>1</v>
      </c>
    </row>
    <row r="610" spans="1:5">
      <c r="A610" s="29" t="s">
        <v>5094</v>
      </c>
      <c r="B610" s="29">
        <v>20170996</v>
      </c>
      <c r="C610" s="29" t="s">
        <v>96</v>
      </c>
      <c r="D610" s="2" t="s">
        <v>7</v>
      </c>
      <c r="E610" s="3">
        <v>1</v>
      </c>
    </row>
    <row r="611" spans="1:5">
      <c r="A611" s="29" t="s">
        <v>5094</v>
      </c>
      <c r="B611" s="29">
        <v>20210012</v>
      </c>
      <c r="C611" s="29" t="s">
        <v>5095</v>
      </c>
      <c r="D611" s="2" t="s">
        <v>7</v>
      </c>
      <c r="E611" s="3">
        <v>1</v>
      </c>
    </row>
    <row r="612" spans="1:5">
      <c r="A612" s="29" t="s">
        <v>5094</v>
      </c>
      <c r="B612" s="29">
        <v>20151429</v>
      </c>
      <c r="C612" s="29" t="s">
        <v>96</v>
      </c>
      <c r="D612" s="2" t="s">
        <v>7</v>
      </c>
      <c r="E612" s="3">
        <v>1</v>
      </c>
    </row>
    <row r="613" spans="1:5">
      <c r="A613" s="29" t="s">
        <v>5094</v>
      </c>
      <c r="B613" s="29">
        <v>20151430</v>
      </c>
      <c r="C613" s="29" t="s">
        <v>96</v>
      </c>
      <c r="D613" s="2" t="s">
        <v>7</v>
      </c>
      <c r="E613" s="3">
        <v>1</v>
      </c>
    </row>
    <row r="614" spans="1:5">
      <c r="A614" s="29" t="s">
        <v>5094</v>
      </c>
      <c r="B614" s="29">
        <v>20151431</v>
      </c>
      <c r="C614" s="29" t="s">
        <v>96</v>
      </c>
      <c r="D614" s="2" t="s">
        <v>7</v>
      </c>
      <c r="E614" s="3">
        <v>1</v>
      </c>
    </row>
    <row r="615" spans="1:5">
      <c r="A615" s="29" t="s">
        <v>5094</v>
      </c>
      <c r="B615" s="29">
        <v>20151432</v>
      </c>
      <c r="C615" s="29" t="s">
        <v>96</v>
      </c>
      <c r="D615" s="2" t="s">
        <v>7</v>
      </c>
      <c r="E615" s="3">
        <v>1</v>
      </c>
    </row>
    <row r="616" spans="1:5">
      <c r="A616" s="29" t="s">
        <v>5094</v>
      </c>
      <c r="B616" s="29">
        <v>20151433</v>
      </c>
      <c r="C616" s="29" t="s">
        <v>96</v>
      </c>
      <c r="D616" s="2" t="s">
        <v>7</v>
      </c>
      <c r="E616" s="3">
        <v>1</v>
      </c>
    </row>
    <row r="617" spans="1:5">
      <c r="A617" s="29" t="s">
        <v>5094</v>
      </c>
      <c r="B617" s="29">
        <v>20151434</v>
      </c>
      <c r="C617" s="29" t="s">
        <v>96</v>
      </c>
      <c r="D617" s="2" t="s">
        <v>7</v>
      </c>
      <c r="E617" s="3">
        <v>1</v>
      </c>
    </row>
    <row r="618" spans="1:5">
      <c r="A618" s="29" t="s">
        <v>5094</v>
      </c>
      <c r="B618" s="29">
        <v>20151435</v>
      </c>
      <c r="C618" s="29" t="s">
        <v>96</v>
      </c>
      <c r="D618" s="2" t="s">
        <v>7</v>
      </c>
      <c r="E618" s="3">
        <v>1</v>
      </c>
    </row>
    <row r="619" spans="1:5">
      <c r="A619" s="29" t="s">
        <v>5094</v>
      </c>
      <c r="B619" s="29">
        <v>20151436</v>
      </c>
      <c r="C619" s="29" t="s">
        <v>96</v>
      </c>
      <c r="D619" s="2" t="s">
        <v>7</v>
      </c>
      <c r="E619" s="3">
        <v>1</v>
      </c>
    </row>
    <row r="620" spans="1:5">
      <c r="A620" s="29" t="s">
        <v>5094</v>
      </c>
      <c r="B620" s="29">
        <v>20151437</v>
      </c>
      <c r="C620" s="29" t="s">
        <v>96</v>
      </c>
      <c r="D620" s="2" t="s">
        <v>7</v>
      </c>
      <c r="E620" s="3">
        <v>1</v>
      </c>
    </row>
    <row r="621" spans="1:5">
      <c r="A621" s="29" t="s">
        <v>5094</v>
      </c>
      <c r="B621" s="29">
        <v>20151438</v>
      </c>
      <c r="C621" s="29" t="s">
        <v>96</v>
      </c>
      <c r="D621" s="2" t="s">
        <v>7</v>
      </c>
      <c r="E621" s="3">
        <v>1</v>
      </c>
    </row>
    <row r="622" spans="1:5">
      <c r="A622" s="29" t="s">
        <v>5094</v>
      </c>
      <c r="B622" s="29">
        <v>20151439</v>
      </c>
      <c r="C622" s="29" t="s">
        <v>96</v>
      </c>
      <c r="D622" s="2" t="s">
        <v>7</v>
      </c>
      <c r="E622" s="3">
        <v>1</v>
      </c>
    </row>
    <row r="623" spans="1:5">
      <c r="A623" s="29" t="s">
        <v>5094</v>
      </c>
      <c r="B623" s="29">
        <v>20151440</v>
      </c>
      <c r="C623" s="29" t="s">
        <v>96</v>
      </c>
      <c r="D623" s="2" t="s">
        <v>7</v>
      </c>
      <c r="E623" s="3">
        <v>1</v>
      </c>
    </row>
    <row r="624" spans="1:5">
      <c r="A624" s="29" t="s">
        <v>5094</v>
      </c>
      <c r="B624" s="29">
        <v>20151441</v>
      </c>
      <c r="C624" s="29" t="s">
        <v>96</v>
      </c>
      <c r="D624" s="2" t="s">
        <v>7</v>
      </c>
      <c r="E624" s="3">
        <v>1</v>
      </c>
    </row>
    <row r="625" spans="1:5">
      <c r="A625" s="29" t="s">
        <v>5094</v>
      </c>
      <c r="B625" s="29">
        <v>20151442</v>
      </c>
      <c r="C625" s="29" t="s">
        <v>96</v>
      </c>
      <c r="D625" s="2" t="s">
        <v>7</v>
      </c>
      <c r="E625" s="3">
        <v>1</v>
      </c>
    </row>
    <row r="626" spans="1:5">
      <c r="A626" s="29" t="s">
        <v>5094</v>
      </c>
      <c r="B626" s="29">
        <v>20151443</v>
      </c>
      <c r="C626" s="29" t="s">
        <v>96</v>
      </c>
      <c r="D626" s="2" t="s">
        <v>7</v>
      </c>
      <c r="E626" s="3">
        <v>1</v>
      </c>
    </row>
    <row r="627" spans="1:5">
      <c r="A627" s="29" t="s">
        <v>5094</v>
      </c>
      <c r="B627" s="29">
        <v>20151444</v>
      </c>
      <c r="C627" s="29" t="s">
        <v>96</v>
      </c>
      <c r="D627" s="2" t="s">
        <v>7</v>
      </c>
      <c r="E627" s="3">
        <v>1</v>
      </c>
    </row>
    <row r="628" spans="1:5">
      <c r="A628" s="29" t="s">
        <v>5094</v>
      </c>
      <c r="B628" s="29">
        <v>20151445</v>
      </c>
      <c r="C628" s="29" t="s">
        <v>96</v>
      </c>
      <c r="D628" s="2" t="s">
        <v>7</v>
      </c>
      <c r="E628" s="3">
        <v>1</v>
      </c>
    </row>
    <row r="629" spans="1:5">
      <c r="A629" s="29" t="s">
        <v>5094</v>
      </c>
      <c r="B629" s="29">
        <v>20151446</v>
      </c>
      <c r="C629" s="29" t="s">
        <v>96</v>
      </c>
      <c r="D629" s="2" t="s">
        <v>7</v>
      </c>
      <c r="E629" s="3">
        <v>1</v>
      </c>
    </row>
    <row r="630" spans="1:5">
      <c r="A630" s="29" t="s">
        <v>5094</v>
      </c>
      <c r="B630" s="29">
        <v>20151447</v>
      </c>
      <c r="C630" s="29" t="s">
        <v>96</v>
      </c>
      <c r="D630" s="2" t="s">
        <v>7</v>
      </c>
      <c r="E630" s="3">
        <v>1</v>
      </c>
    </row>
    <row r="631" spans="1:5">
      <c r="A631" s="29" t="s">
        <v>5094</v>
      </c>
      <c r="B631" s="29">
        <v>20151448</v>
      </c>
      <c r="C631" s="29" t="s">
        <v>96</v>
      </c>
      <c r="D631" s="2" t="s">
        <v>7</v>
      </c>
      <c r="E631" s="3">
        <v>1</v>
      </c>
    </row>
    <row r="632" spans="1:5">
      <c r="A632" s="29" t="s">
        <v>5094</v>
      </c>
      <c r="B632" s="29">
        <v>20151449</v>
      </c>
      <c r="C632" s="29" t="s">
        <v>96</v>
      </c>
      <c r="D632" s="2" t="s">
        <v>7</v>
      </c>
      <c r="E632" s="3">
        <v>1</v>
      </c>
    </row>
    <row r="633" spans="1:5">
      <c r="A633" s="29" t="s">
        <v>5094</v>
      </c>
      <c r="B633" s="29">
        <v>20151450</v>
      </c>
      <c r="C633" s="29" t="s">
        <v>96</v>
      </c>
      <c r="D633" s="2" t="s">
        <v>7</v>
      </c>
      <c r="E633" s="3">
        <v>1</v>
      </c>
    </row>
    <row r="634" spans="1:5">
      <c r="A634" s="29" t="s">
        <v>5094</v>
      </c>
      <c r="B634" s="29">
        <v>20151451</v>
      </c>
      <c r="C634" s="29" t="s">
        <v>96</v>
      </c>
      <c r="D634" s="2" t="s">
        <v>7</v>
      </c>
      <c r="E634" s="3">
        <v>1</v>
      </c>
    </row>
    <row r="635" spans="1:5">
      <c r="A635" s="29" t="s">
        <v>5094</v>
      </c>
      <c r="B635" s="29">
        <v>20151452</v>
      </c>
      <c r="C635" s="29" t="s">
        <v>96</v>
      </c>
      <c r="D635" s="2" t="s">
        <v>7</v>
      </c>
      <c r="E635" s="3">
        <v>1</v>
      </c>
    </row>
    <row r="636" spans="1:5">
      <c r="A636" s="29" t="s">
        <v>5094</v>
      </c>
      <c r="B636" s="29">
        <v>20151453</v>
      </c>
      <c r="C636" s="29" t="s">
        <v>96</v>
      </c>
      <c r="D636" s="2" t="s">
        <v>7</v>
      </c>
      <c r="E636" s="3">
        <v>1</v>
      </c>
    </row>
    <row r="637" spans="1:5">
      <c r="A637" s="29" t="s">
        <v>5094</v>
      </c>
      <c r="B637" s="29">
        <v>20151454</v>
      </c>
      <c r="C637" s="29" t="s">
        <v>96</v>
      </c>
      <c r="D637" s="2" t="s">
        <v>7</v>
      </c>
      <c r="E637" s="3">
        <v>1</v>
      </c>
    </row>
    <row r="638" spans="1:5">
      <c r="A638" s="29" t="s">
        <v>5094</v>
      </c>
      <c r="B638" s="29">
        <v>20151455</v>
      </c>
      <c r="C638" s="29" t="s">
        <v>96</v>
      </c>
      <c r="D638" s="2" t="s">
        <v>7</v>
      </c>
      <c r="E638" s="3">
        <v>1</v>
      </c>
    </row>
    <row r="639" spans="1:5">
      <c r="A639" s="29" t="s">
        <v>5094</v>
      </c>
      <c r="B639" s="29">
        <v>20151456</v>
      </c>
      <c r="C639" s="29" t="s">
        <v>96</v>
      </c>
      <c r="D639" s="2" t="s">
        <v>7</v>
      </c>
      <c r="E639" s="3">
        <v>1</v>
      </c>
    </row>
    <row r="640" spans="1:5">
      <c r="A640" s="29" t="s">
        <v>5094</v>
      </c>
      <c r="B640" s="29">
        <v>20151457</v>
      </c>
      <c r="C640" s="29" t="s">
        <v>96</v>
      </c>
      <c r="D640" s="2" t="s">
        <v>7</v>
      </c>
      <c r="E640" s="3">
        <v>1</v>
      </c>
    </row>
    <row r="641" spans="1:5">
      <c r="A641" s="29" t="s">
        <v>5094</v>
      </c>
      <c r="B641" s="29">
        <v>20151458</v>
      </c>
      <c r="C641" s="29" t="s">
        <v>96</v>
      </c>
      <c r="D641" s="2" t="s">
        <v>7</v>
      </c>
      <c r="E641" s="3">
        <v>1</v>
      </c>
    </row>
    <row r="642" spans="1:5">
      <c r="A642" s="29" t="s">
        <v>5094</v>
      </c>
      <c r="B642" s="29">
        <v>20151459</v>
      </c>
      <c r="C642" s="29" t="s">
        <v>96</v>
      </c>
      <c r="D642" s="2" t="s">
        <v>7</v>
      </c>
      <c r="E642" s="3">
        <v>1</v>
      </c>
    </row>
    <row r="643" spans="1:5">
      <c r="A643" s="29" t="s">
        <v>5094</v>
      </c>
      <c r="B643" s="29">
        <v>20151460</v>
      </c>
      <c r="C643" s="29" t="s">
        <v>96</v>
      </c>
      <c r="D643" s="2" t="s">
        <v>7</v>
      </c>
      <c r="E643" s="3">
        <v>1</v>
      </c>
    </row>
    <row r="644" spans="1:5">
      <c r="A644" s="29" t="s">
        <v>5094</v>
      </c>
      <c r="B644" s="29">
        <v>20151461</v>
      </c>
      <c r="C644" s="29" t="s">
        <v>96</v>
      </c>
      <c r="D644" s="2" t="s">
        <v>7</v>
      </c>
      <c r="E644" s="3">
        <v>1</v>
      </c>
    </row>
    <row r="645" spans="1:5">
      <c r="A645" s="29" t="s">
        <v>5094</v>
      </c>
      <c r="B645" s="29">
        <v>20151462</v>
      </c>
      <c r="C645" s="29" t="s">
        <v>96</v>
      </c>
      <c r="D645" s="2" t="s">
        <v>7</v>
      </c>
      <c r="E645" s="3">
        <v>1</v>
      </c>
    </row>
    <row r="646" spans="1:5">
      <c r="A646" s="29" t="s">
        <v>5094</v>
      </c>
      <c r="B646" s="29">
        <v>20151463</v>
      </c>
      <c r="C646" s="29" t="s">
        <v>96</v>
      </c>
      <c r="D646" s="2" t="s">
        <v>7</v>
      </c>
      <c r="E646" s="3">
        <v>1</v>
      </c>
    </row>
    <row r="647" spans="1:5">
      <c r="A647" s="29" t="s">
        <v>5094</v>
      </c>
      <c r="B647" s="29">
        <v>20151464</v>
      </c>
      <c r="C647" s="29" t="s">
        <v>96</v>
      </c>
      <c r="D647" s="2" t="s">
        <v>7</v>
      </c>
      <c r="E647" s="3">
        <v>1</v>
      </c>
    </row>
    <row r="648" spans="1:5">
      <c r="A648" s="29" t="s">
        <v>5094</v>
      </c>
      <c r="B648" s="29">
        <v>20151465</v>
      </c>
      <c r="C648" s="29" t="s">
        <v>96</v>
      </c>
      <c r="D648" s="2" t="s">
        <v>7</v>
      </c>
      <c r="E648" s="3">
        <v>1</v>
      </c>
    </row>
    <row r="649" spans="1:5">
      <c r="A649" s="29" t="s">
        <v>5094</v>
      </c>
      <c r="B649" s="29">
        <v>20151466</v>
      </c>
      <c r="C649" s="29" t="s">
        <v>96</v>
      </c>
      <c r="D649" s="2" t="s">
        <v>7</v>
      </c>
      <c r="E649" s="3">
        <v>1</v>
      </c>
    </row>
    <row r="650" spans="1:5">
      <c r="A650" s="29" t="s">
        <v>5094</v>
      </c>
      <c r="B650" s="29">
        <v>20151467</v>
      </c>
      <c r="C650" s="29" t="s">
        <v>96</v>
      </c>
      <c r="D650" s="2" t="s">
        <v>7</v>
      </c>
      <c r="E650" s="3">
        <v>1</v>
      </c>
    </row>
    <row r="651" spans="1:5">
      <c r="A651" s="29" t="s">
        <v>5094</v>
      </c>
      <c r="B651" s="29">
        <v>20151468</v>
      </c>
      <c r="C651" s="29" t="s">
        <v>96</v>
      </c>
      <c r="D651" s="2" t="s">
        <v>7</v>
      </c>
      <c r="E651" s="3">
        <v>1</v>
      </c>
    </row>
    <row r="652" spans="1:5">
      <c r="A652" s="29" t="s">
        <v>5094</v>
      </c>
      <c r="B652" s="29">
        <v>20151469</v>
      </c>
      <c r="C652" s="29" t="s">
        <v>96</v>
      </c>
      <c r="D652" s="2" t="s">
        <v>7</v>
      </c>
      <c r="E652" s="3">
        <v>1</v>
      </c>
    </row>
    <row r="653" spans="1:5">
      <c r="A653" s="29" t="s">
        <v>5094</v>
      </c>
      <c r="B653" s="29">
        <v>20151470</v>
      </c>
      <c r="C653" s="29" t="s">
        <v>96</v>
      </c>
      <c r="D653" s="2" t="s">
        <v>7</v>
      </c>
      <c r="E653" s="3">
        <v>1</v>
      </c>
    </row>
    <row r="654" spans="1:5">
      <c r="A654" s="29" t="s">
        <v>5094</v>
      </c>
      <c r="B654" s="29">
        <v>20151471</v>
      </c>
      <c r="C654" s="29" t="s">
        <v>96</v>
      </c>
      <c r="D654" s="2" t="s">
        <v>7</v>
      </c>
      <c r="E654" s="3">
        <v>1</v>
      </c>
    </row>
    <row r="655" spans="1:5">
      <c r="A655" s="29" t="s">
        <v>5094</v>
      </c>
      <c r="B655" s="29">
        <v>20151472</v>
      </c>
      <c r="C655" s="29" t="s">
        <v>96</v>
      </c>
      <c r="D655" s="2" t="s">
        <v>7</v>
      </c>
      <c r="E655" s="3">
        <v>1</v>
      </c>
    </row>
    <row r="656" spans="1:5">
      <c r="A656" s="29" t="s">
        <v>5094</v>
      </c>
      <c r="B656" s="29">
        <v>20151473</v>
      </c>
      <c r="C656" s="29" t="s">
        <v>96</v>
      </c>
      <c r="D656" s="2" t="s">
        <v>7</v>
      </c>
      <c r="E656" s="3">
        <v>1</v>
      </c>
    </row>
    <row r="657" spans="1:5">
      <c r="A657" s="29" t="s">
        <v>5094</v>
      </c>
      <c r="B657" s="29">
        <v>20151474</v>
      </c>
      <c r="C657" s="29" t="s">
        <v>96</v>
      </c>
      <c r="D657" s="2" t="s">
        <v>7</v>
      </c>
      <c r="E657" s="3">
        <v>1</v>
      </c>
    </row>
    <row r="658" spans="1:5">
      <c r="A658" s="29" t="s">
        <v>5094</v>
      </c>
      <c r="B658" s="29">
        <v>20151475</v>
      </c>
      <c r="C658" s="29" t="s">
        <v>96</v>
      </c>
      <c r="D658" s="2" t="s">
        <v>7</v>
      </c>
      <c r="E658" s="3">
        <v>1</v>
      </c>
    </row>
    <row r="659" spans="1:5">
      <c r="A659" s="29" t="s">
        <v>5094</v>
      </c>
      <c r="B659" s="29">
        <v>20151476</v>
      </c>
      <c r="C659" s="29" t="s">
        <v>96</v>
      </c>
      <c r="D659" s="2" t="s">
        <v>7</v>
      </c>
      <c r="E659" s="3">
        <v>1</v>
      </c>
    </row>
    <row r="660" spans="1:5">
      <c r="A660" s="29" t="s">
        <v>5094</v>
      </c>
      <c r="B660" s="29">
        <v>20151477</v>
      </c>
      <c r="C660" s="29" t="s">
        <v>96</v>
      </c>
      <c r="D660" s="2" t="s">
        <v>7</v>
      </c>
      <c r="E660" s="3">
        <v>1</v>
      </c>
    </row>
    <row r="661" spans="1:5">
      <c r="A661" s="29" t="s">
        <v>5094</v>
      </c>
      <c r="B661" s="29">
        <v>20151478</v>
      </c>
      <c r="C661" s="29" t="s">
        <v>96</v>
      </c>
      <c r="D661" s="2" t="s">
        <v>7</v>
      </c>
      <c r="E661" s="3">
        <v>1</v>
      </c>
    </row>
    <row r="662" spans="1:5">
      <c r="A662" s="29" t="s">
        <v>5094</v>
      </c>
      <c r="B662" s="29">
        <v>20151479</v>
      </c>
      <c r="C662" s="29" t="s">
        <v>96</v>
      </c>
      <c r="D662" s="2" t="s">
        <v>7</v>
      </c>
      <c r="E662" s="3">
        <v>1</v>
      </c>
    </row>
    <row r="663" spans="1:5">
      <c r="A663" s="29" t="s">
        <v>5094</v>
      </c>
      <c r="B663" s="29">
        <v>20151480</v>
      </c>
      <c r="C663" s="29" t="s">
        <v>96</v>
      </c>
      <c r="D663" s="2" t="s">
        <v>7</v>
      </c>
      <c r="E663" s="3">
        <v>1</v>
      </c>
    </row>
    <row r="664" spans="1:5">
      <c r="A664" s="29" t="s">
        <v>5094</v>
      </c>
      <c r="B664" s="29">
        <v>20151481</v>
      </c>
      <c r="C664" s="29" t="s">
        <v>96</v>
      </c>
      <c r="D664" s="2" t="s">
        <v>7</v>
      </c>
      <c r="E664" s="3">
        <v>1</v>
      </c>
    </row>
    <row r="665" spans="1:5">
      <c r="A665" s="29" t="s">
        <v>5094</v>
      </c>
      <c r="B665" s="29">
        <v>20151482</v>
      </c>
      <c r="C665" s="29" t="s">
        <v>96</v>
      </c>
      <c r="D665" s="2" t="s">
        <v>7</v>
      </c>
      <c r="E665" s="3">
        <v>1</v>
      </c>
    </row>
    <row r="666" spans="1:5">
      <c r="A666" s="29" t="s">
        <v>5094</v>
      </c>
      <c r="B666" s="29">
        <v>20151483</v>
      </c>
      <c r="C666" s="29" t="s">
        <v>96</v>
      </c>
      <c r="D666" s="2" t="s">
        <v>7</v>
      </c>
      <c r="E666" s="3">
        <v>1</v>
      </c>
    </row>
    <row r="667" spans="1:5">
      <c r="A667" s="29" t="s">
        <v>5094</v>
      </c>
      <c r="B667" s="29">
        <v>20210828</v>
      </c>
      <c r="C667" s="29" t="s">
        <v>5096</v>
      </c>
      <c r="D667" s="2" t="s">
        <v>7</v>
      </c>
      <c r="E667" s="3">
        <v>1</v>
      </c>
    </row>
    <row r="668" spans="1:5">
      <c r="A668" s="29" t="s">
        <v>5094</v>
      </c>
      <c r="B668" s="29">
        <v>20151371</v>
      </c>
      <c r="C668" s="29" t="s">
        <v>96</v>
      </c>
      <c r="D668" s="2" t="s">
        <v>7</v>
      </c>
      <c r="E668" s="3">
        <v>1</v>
      </c>
    </row>
    <row r="669" spans="1:5">
      <c r="A669" s="29" t="s">
        <v>5094</v>
      </c>
      <c r="B669" s="29">
        <v>20151372</v>
      </c>
      <c r="C669" s="29" t="s">
        <v>96</v>
      </c>
      <c r="D669" s="2" t="s">
        <v>7</v>
      </c>
      <c r="E669" s="3">
        <v>1</v>
      </c>
    </row>
    <row r="670" spans="1:5">
      <c r="A670" s="29" t="s">
        <v>5094</v>
      </c>
      <c r="B670" s="29">
        <v>20151373</v>
      </c>
      <c r="C670" s="29" t="s">
        <v>96</v>
      </c>
      <c r="D670" s="2" t="s">
        <v>7</v>
      </c>
      <c r="E670" s="3">
        <v>1</v>
      </c>
    </row>
    <row r="671" spans="1:5">
      <c r="A671" s="29" t="s">
        <v>5094</v>
      </c>
      <c r="B671" s="29">
        <v>20151374</v>
      </c>
      <c r="C671" s="29" t="s">
        <v>96</v>
      </c>
      <c r="D671" s="2" t="s">
        <v>7</v>
      </c>
      <c r="E671" s="3">
        <v>1</v>
      </c>
    </row>
    <row r="672" spans="1:5">
      <c r="A672" s="29" t="s">
        <v>5094</v>
      </c>
      <c r="B672" s="29">
        <v>20151375</v>
      </c>
      <c r="C672" s="29" t="s">
        <v>96</v>
      </c>
      <c r="D672" s="2" t="s">
        <v>7</v>
      </c>
      <c r="E672" s="3">
        <v>1</v>
      </c>
    </row>
    <row r="673" spans="1:5">
      <c r="A673" s="29" t="s">
        <v>5094</v>
      </c>
      <c r="B673" s="29">
        <v>20151376</v>
      </c>
      <c r="C673" s="29" t="s">
        <v>96</v>
      </c>
      <c r="D673" s="2" t="s">
        <v>7</v>
      </c>
      <c r="E673" s="3">
        <v>1</v>
      </c>
    </row>
    <row r="674" spans="1:5">
      <c r="A674" s="29" t="s">
        <v>5094</v>
      </c>
      <c r="B674" s="29">
        <v>20151377</v>
      </c>
      <c r="C674" s="29" t="s">
        <v>96</v>
      </c>
      <c r="D674" s="2" t="s">
        <v>7</v>
      </c>
      <c r="E674" s="3">
        <v>1</v>
      </c>
    </row>
    <row r="675" spans="1:5">
      <c r="A675" s="29" t="s">
        <v>5094</v>
      </c>
      <c r="B675" s="29">
        <v>20151378</v>
      </c>
      <c r="C675" s="29" t="s">
        <v>96</v>
      </c>
      <c r="D675" s="2" t="s">
        <v>7</v>
      </c>
      <c r="E675" s="3">
        <v>1</v>
      </c>
    </row>
    <row r="676" spans="1:5">
      <c r="A676" s="29" t="s">
        <v>5094</v>
      </c>
      <c r="B676" s="29">
        <v>20151379</v>
      </c>
      <c r="C676" s="29" t="s">
        <v>96</v>
      </c>
      <c r="D676" s="2" t="s">
        <v>7</v>
      </c>
      <c r="E676" s="3">
        <v>1</v>
      </c>
    </row>
    <row r="677" spans="1:5">
      <c r="A677" s="29" t="s">
        <v>5094</v>
      </c>
      <c r="B677" s="29">
        <v>20151380</v>
      </c>
      <c r="C677" s="29" t="s">
        <v>96</v>
      </c>
      <c r="D677" s="2" t="s">
        <v>7</v>
      </c>
      <c r="E677" s="3">
        <v>1</v>
      </c>
    </row>
    <row r="678" spans="1:5">
      <c r="A678" s="29" t="s">
        <v>5094</v>
      </c>
      <c r="B678" s="29">
        <v>20151381</v>
      </c>
      <c r="C678" s="29" t="s">
        <v>96</v>
      </c>
      <c r="D678" s="2" t="s">
        <v>7</v>
      </c>
      <c r="E678" s="3">
        <v>1</v>
      </c>
    </row>
    <row r="679" spans="1:5">
      <c r="A679" s="29" t="s">
        <v>5094</v>
      </c>
      <c r="B679" s="29">
        <v>20151382</v>
      </c>
      <c r="C679" s="29" t="s">
        <v>96</v>
      </c>
      <c r="D679" s="2" t="s">
        <v>7</v>
      </c>
      <c r="E679" s="3">
        <v>1</v>
      </c>
    </row>
    <row r="680" spans="1:5">
      <c r="A680" s="29" t="s">
        <v>5094</v>
      </c>
      <c r="B680" s="29">
        <v>20151383</v>
      </c>
      <c r="C680" s="29" t="s">
        <v>96</v>
      </c>
      <c r="D680" s="2" t="s">
        <v>7</v>
      </c>
      <c r="E680" s="3">
        <v>1</v>
      </c>
    </row>
    <row r="681" spans="1:5">
      <c r="A681" s="29" t="s">
        <v>5094</v>
      </c>
      <c r="B681" s="29">
        <v>20151384</v>
      </c>
      <c r="C681" s="29" t="s">
        <v>96</v>
      </c>
      <c r="D681" s="2" t="s">
        <v>7</v>
      </c>
      <c r="E681" s="3">
        <v>1</v>
      </c>
    </row>
    <row r="682" spans="1:5">
      <c r="A682" s="29" t="s">
        <v>5094</v>
      </c>
      <c r="B682" s="29">
        <v>20151385</v>
      </c>
      <c r="C682" s="29" t="s">
        <v>96</v>
      </c>
      <c r="D682" s="2" t="s">
        <v>7</v>
      </c>
      <c r="E682" s="3">
        <v>1</v>
      </c>
    </row>
    <row r="683" spans="1:5">
      <c r="A683" s="29" t="s">
        <v>5094</v>
      </c>
      <c r="B683" s="29">
        <v>20151386</v>
      </c>
      <c r="C683" s="29" t="s">
        <v>96</v>
      </c>
      <c r="D683" s="2" t="s">
        <v>7</v>
      </c>
      <c r="E683" s="3">
        <v>1</v>
      </c>
    </row>
    <row r="684" spans="1:5">
      <c r="A684" s="29" t="s">
        <v>5094</v>
      </c>
      <c r="B684" s="29">
        <v>20151387</v>
      </c>
      <c r="C684" s="29" t="s">
        <v>96</v>
      </c>
      <c r="D684" s="2" t="s">
        <v>7</v>
      </c>
      <c r="E684" s="3">
        <v>1</v>
      </c>
    </row>
    <row r="685" spans="1:5">
      <c r="A685" s="29" t="s">
        <v>5094</v>
      </c>
      <c r="B685" s="29">
        <v>20151388</v>
      </c>
      <c r="C685" s="29" t="s">
        <v>96</v>
      </c>
      <c r="D685" s="2" t="s">
        <v>7</v>
      </c>
      <c r="E685" s="3">
        <v>1</v>
      </c>
    </row>
    <row r="686" spans="1:5">
      <c r="A686" s="29" t="s">
        <v>5094</v>
      </c>
      <c r="B686" s="29">
        <v>20151389</v>
      </c>
      <c r="C686" s="29" t="s">
        <v>96</v>
      </c>
      <c r="D686" s="2" t="s">
        <v>7</v>
      </c>
      <c r="E686" s="3">
        <v>1</v>
      </c>
    </row>
    <row r="687" spans="1:5">
      <c r="A687" s="29" t="s">
        <v>5094</v>
      </c>
      <c r="B687" s="29">
        <v>20151390</v>
      </c>
      <c r="C687" s="29" t="s">
        <v>96</v>
      </c>
      <c r="D687" s="2" t="s">
        <v>7</v>
      </c>
      <c r="E687" s="3">
        <v>1</v>
      </c>
    </row>
    <row r="688" spans="1:5">
      <c r="A688" s="29" t="s">
        <v>5094</v>
      </c>
      <c r="B688" s="29">
        <v>20151391</v>
      </c>
      <c r="C688" s="29" t="s">
        <v>96</v>
      </c>
      <c r="D688" s="2" t="s">
        <v>7</v>
      </c>
      <c r="E688" s="3">
        <v>1</v>
      </c>
    </row>
    <row r="689" spans="1:5">
      <c r="A689" s="29" t="s">
        <v>5094</v>
      </c>
      <c r="B689" s="29">
        <v>20151392</v>
      </c>
      <c r="C689" s="29" t="s">
        <v>96</v>
      </c>
      <c r="D689" s="2" t="s">
        <v>7</v>
      </c>
      <c r="E689" s="3">
        <v>1</v>
      </c>
    </row>
    <row r="690" spans="1:5">
      <c r="A690" s="29" t="s">
        <v>5094</v>
      </c>
      <c r="B690" s="29">
        <v>20151393</v>
      </c>
      <c r="C690" s="29" t="s">
        <v>96</v>
      </c>
      <c r="D690" s="2" t="s">
        <v>7</v>
      </c>
      <c r="E690" s="3">
        <v>1</v>
      </c>
    </row>
    <row r="691" spans="1:5">
      <c r="A691" s="29" t="s">
        <v>5094</v>
      </c>
      <c r="B691" s="29">
        <v>20151394</v>
      </c>
      <c r="C691" s="29" t="s">
        <v>96</v>
      </c>
      <c r="D691" s="2" t="s">
        <v>7</v>
      </c>
      <c r="E691" s="3">
        <v>1</v>
      </c>
    </row>
    <row r="692" spans="1:5">
      <c r="A692" s="29" t="s">
        <v>5094</v>
      </c>
      <c r="B692" s="29">
        <v>20151395</v>
      </c>
      <c r="C692" s="29" t="s">
        <v>96</v>
      </c>
      <c r="D692" s="2" t="s">
        <v>7</v>
      </c>
      <c r="E692" s="3">
        <v>1</v>
      </c>
    </row>
    <row r="693" spans="1:5">
      <c r="A693" s="29" t="s">
        <v>5094</v>
      </c>
      <c r="B693" s="29">
        <v>20151396</v>
      </c>
      <c r="C693" s="29" t="s">
        <v>96</v>
      </c>
      <c r="D693" s="2" t="s">
        <v>7</v>
      </c>
      <c r="E693" s="3">
        <v>1</v>
      </c>
    </row>
    <row r="694" spans="1:5">
      <c r="A694" s="29" t="s">
        <v>5094</v>
      </c>
      <c r="B694" s="29">
        <v>20151397</v>
      </c>
      <c r="C694" s="29" t="s">
        <v>96</v>
      </c>
      <c r="D694" s="2" t="s">
        <v>7</v>
      </c>
      <c r="E694" s="3">
        <v>1</v>
      </c>
    </row>
    <row r="695" spans="1:5">
      <c r="A695" s="29" t="s">
        <v>5094</v>
      </c>
      <c r="B695" s="29">
        <v>20151398</v>
      </c>
      <c r="C695" s="29" t="s">
        <v>96</v>
      </c>
      <c r="D695" s="2" t="s">
        <v>7</v>
      </c>
      <c r="E695" s="3">
        <v>1</v>
      </c>
    </row>
    <row r="696" spans="1:5">
      <c r="A696" s="29" t="s">
        <v>5094</v>
      </c>
      <c r="B696" s="29">
        <v>20151399</v>
      </c>
      <c r="C696" s="29" t="s">
        <v>96</v>
      </c>
      <c r="D696" s="2" t="s">
        <v>7</v>
      </c>
      <c r="E696" s="3">
        <v>1</v>
      </c>
    </row>
    <row r="697" spans="1:5">
      <c r="A697" s="29" t="s">
        <v>5094</v>
      </c>
      <c r="B697" s="29">
        <v>20151400</v>
      </c>
      <c r="C697" s="29" t="s">
        <v>96</v>
      </c>
      <c r="D697" s="2" t="s">
        <v>7</v>
      </c>
      <c r="E697" s="3">
        <v>1</v>
      </c>
    </row>
    <row r="698" spans="1:5">
      <c r="A698" s="29" t="s">
        <v>5094</v>
      </c>
      <c r="B698" s="29">
        <v>20151401</v>
      </c>
      <c r="C698" s="29" t="s">
        <v>96</v>
      </c>
      <c r="D698" s="2" t="s">
        <v>7</v>
      </c>
      <c r="E698" s="3">
        <v>1</v>
      </c>
    </row>
    <row r="699" spans="1:5">
      <c r="A699" s="29" t="s">
        <v>5094</v>
      </c>
      <c r="B699" s="29">
        <v>20151402</v>
      </c>
      <c r="C699" s="29" t="s">
        <v>96</v>
      </c>
      <c r="D699" s="2" t="s">
        <v>7</v>
      </c>
      <c r="E699" s="3">
        <v>1</v>
      </c>
    </row>
    <row r="700" spans="1:5">
      <c r="A700" s="29" t="s">
        <v>5094</v>
      </c>
      <c r="B700" s="29">
        <v>20151403</v>
      </c>
      <c r="C700" s="29" t="s">
        <v>96</v>
      </c>
      <c r="D700" s="2" t="s">
        <v>7</v>
      </c>
      <c r="E700" s="3">
        <v>1</v>
      </c>
    </row>
    <row r="701" spans="1:5">
      <c r="A701" s="29" t="s">
        <v>5094</v>
      </c>
      <c r="B701" s="29">
        <v>20151404</v>
      </c>
      <c r="C701" s="29" t="s">
        <v>96</v>
      </c>
      <c r="D701" s="2" t="s">
        <v>7</v>
      </c>
      <c r="E701" s="3">
        <v>1</v>
      </c>
    </row>
    <row r="702" spans="1:5">
      <c r="A702" s="29" t="s">
        <v>5094</v>
      </c>
      <c r="B702" s="29">
        <v>20151405</v>
      </c>
      <c r="C702" s="29" t="s">
        <v>96</v>
      </c>
      <c r="D702" s="2" t="s">
        <v>7</v>
      </c>
      <c r="E702" s="3">
        <v>1</v>
      </c>
    </row>
    <row r="703" spans="1:5">
      <c r="A703" s="29" t="s">
        <v>5094</v>
      </c>
      <c r="B703" s="29">
        <v>20151406</v>
      </c>
      <c r="C703" s="29" t="s">
        <v>96</v>
      </c>
      <c r="D703" s="2" t="s">
        <v>7</v>
      </c>
      <c r="E703" s="3">
        <v>1</v>
      </c>
    </row>
    <row r="704" spans="1:5">
      <c r="A704" s="29" t="s">
        <v>5094</v>
      </c>
      <c r="B704" s="29">
        <v>20151407</v>
      </c>
      <c r="C704" s="29" t="s">
        <v>96</v>
      </c>
      <c r="D704" s="2" t="s">
        <v>7</v>
      </c>
      <c r="E704" s="3">
        <v>1</v>
      </c>
    </row>
    <row r="705" spans="1:5">
      <c r="A705" s="29" t="s">
        <v>5094</v>
      </c>
      <c r="B705" s="29">
        <v>20151408</v>
      </c>
      <c r="C705" s="29" t="s">
        <v>96</v>
      </c>
      <c r="D705" s="2" t="s">
        <v>7</v>
      </c>
      <c r="E705" s="3">
        <v>1</v>
      </c>
    </row>
    <row r="706" spans="1:5">
      <c r="A706" s="29" t="s">
        <v>5094</v>
      </c>
      <c r="B706" s="29">
        <v>20151409</v>
      </c>
      <c r="C706" s="29" t="s">
        <v>96</v>
      </c>
      <c r="D706" s="2" t="s">
        <v>7</v>
      </c>
      <c r="E706" s="3">
        <v>1</v>
      </c>
    </row>
    <row r="707" spans="1:5">
      <c r="A707" s="29" t="s">
        <v>5094</v>
      </c>
      <c r="B707" s="29">
        <v>20151410</v>
      </c>
      <c r="C707" s="29" t="s">
        <v>96</v>
      </c>
      <c r="D707" s="2" t="s">
        <v>7</v>
      </c>
      <c r="E707" s="3">
        <v>1</v>
      </c>
    </row>
    <row r="708" spans="1:5">
      <c r="A708" s="29" t="s">
        <v>5094</v>
      </c>
      <c r="B708" s="29">
        <v>20151411</v>
      </c>
      <c r="C708" s="29" t="s">
        <v>96</v>
      </c>
      <c r="D708" s="2" t="s">
        <v>7</v>
      </c>
      <c r="E708" s="3">
        <v>1</v>
      </c>
    </row>
    <row r="709" spans="1:5">
      <c r="A709" s="29" t="s">
        <v>5094</v>
      </c>
      <c r="B709" s="29">
        <v>20151412</v>
      </c>
      <c r="C709" s="29" t="s">
        <v>96</v>
      </c>
      <c r="D709" s="2" t="s">
        <v>7</v>
      </c>
      <c r="E709" s="3">
        <v>1</v>
      </c>
    </row>
    <row r="710" spans="1:5">
      <c r="A710" s="29" t="s">
        <v>5094</v>
      </c>
      <c r="B710" s="29">
        <v>20151413</v>
      </c>
      <c r="C710" s="29" t="s">
        <v>96</v>
      </c>
      <c r="D710" s="2" t="s">
        <v>7</v>
      </c>
      <c r="E710" s="3">
        <v>1</v>
      </c>
    </row>
    <row r="711" spans="1:5">
      <c r="A711" s="29" t="s">
        <v>5094</v>
      </c>
      <c r="B711" s="29">
        <v>20151414</v>
      </c>
      <c r="C711" s="29" t="s">
        <v>96</v>
      </c>
      <c r="D711" s="2" t="s">
        <v>7</v>
      </c>
      <c r="E711" s="3">
        <v>1</v>
      </c>
    </row>
    <row r="712" spans="1:5">
      <c r="A712" s="29" t="s">
        <v>5094</v>
      </c>
      <c r="B712" s="29">
        <v>20151415</v>
      </c>
      <c r="C712" s="29" t="s">
        <v>96</v>
      </c>
      <c r="D712" s="2" t="s">
        <v>7</v>
      </c>
      <c r="E712" s="3">
        <v>1</v>
      </c>
    </row>
    <row r="713" spans="1:5">
      <c r="A713" s="29" t="s">
        <v>5094</v>
      </c>
      <c r="B713" s="29">
        <v>20151416</v>
      </c>
      <c r="C713" s="29" t="s">
        <v>96</v>
      </c>
      <c r="D713" s="2" t="s">
        <v>7</v>
      </c>
      <c r="E713" s="3">
        <v>1</v>
      </c>
    </row>
    <row r="714" spans="1:5">
      <c r="A714" s="29" t="s">
        <v>5094</v>
      </c>
      <c r="B714" s="29">
        <v>20151417</v>
      </c>
      <c r="C714" s="29" t="s">
        <v>96</v>
      </c>
      <c r="D714" s="2" t="s">
        <v>7</v>
      </c>
      <c r="E714" s="3">
        <v>1</v>
      </c>
    </row>
    <row r="715" spans="1:5">
      <c r="A715" s="29" t="s">
        <v>5094</v>
      </c>
      <c r="B715" s="29">
        <v>20151418</v>
      </c>
      <c r="C715" s="29" t="s">
        <v>96</v>
      </c>
      <c r="D715" s="2" t="s">
        <v>7</v>
      </c>
      <c r="E715" s="3">
        <v>1</v>
      </c>
    </row>
    <row r="716" spans="1:5">
      <c r="A716" s="29" t="s">
        <v>5094</v>
      </c>
      <c r="B716" s="29">
        <v>20151419</v>
      </c>
      <c r="C716" s="29" t="s">
        <v>96</v>
      </c>
      <c r="D716" s="2" t="s">
        <v>7</v>
      </c>
      <c r="E716" s="3">
        <v>1</v>
      </c>
    </row>
    <row r="717" spans="1:5">
      <c r="A717" s="29" t="s">
        <v>5094</v>
      </c>
      <c r="B717" s="29">
        <v>20151420</v>
      </c>
      <c r="C717" s="29" t="s">
        <v>96</v>
      </c>
      <c r="D717" s="2" t="s">
        <v>7</v>
      </c>
      <c r="E717" s="3">
        <v>1</v>
      </c>
    </row>
    <row r="718" spans="1:5">
      <c r="A718" s="29" t="s">
        <v>5094</v>
      </c>
      <c r="B718" s="29">
        <v>20151421</v>
      </c>
      <c r="C718" s="29" t="s">
        <v>96</v>
      </c>
      <c r="D718" s="2" t="s">
        <v>7</v>
      </c>
      <c r="E718" s="3">
        <v>1</v>
      </c>
    </row>
    <row r="719" spans="1:5">
      <c r="A719" s="29" t="s">
        <v>5094</v>
      </c>
      <c r="B719" s="29">
        <v>20151422</v>
      </c>
      <c r="C719" s="29" t="s">
        <v>96</v>
      </c>
      <c r="D719" s="2" t="s">
        <v>7</v>
      </c>
      <c r="E719" s="3">
        <v>1</v>
      </c>
    </row>
    <row r="720" spans="1:5">
      <c r="A720" s="29" t="s">
        <v>5094</v>
      </c>
      <c r="B720" s="29">
        <v>20151423</v>
      </c>
      <c r="C720" s="29" t="s">
        <v>96</v>
      </c>
      <c r="D720" s="2" t="s">
        <v>7</v>
      </c>
      <c r="E720" s="3">
        <v>1</v>
      </c>
    </row>
    <row r="721" spans="1:5">
      <c r="A721" s="29" t="s">
        <v>5094</v>
      </c>
      <c r="B721" s="29">
        <v>20151424</v>
      </c>
      <c r="C721" s="29" t="s">
        <v>96</v>
      </c>
      <c r="D721" s="2" t="s">
        <v>7</v>
      </c>
      <c r="E721" s="3">
        <v>1</v>
      </c>
    </row>
    <row r="722" spans="1:5">
      <c r="A722" s="29" t="s">
        <v>5094</v>
      </c>
      <c r="B722" s="29">
        <v>20151425</v>
      </c>
      <c r="C722" s="29" t="s">
        <v>96</v>
      </c>
      <c r="D722" s="2" t="s">
        <v>7</v>
      </c>
      <c r="E722" s="3">
        <v>1</v>
      </c>
    </row>
    <row r="723" spans="1:5">
      <c r="A723" s="29" t="s">
        <v>5094</v>
      </c>
      <c r="B723" s="29">
        <v>20160792</v>
      </c>
      <c r="C723" s="29" t="s">
        <v>96</v>
      </c>
      <c r="D723" s="2" t="s">
        <v>7</v>
      </c>
      <c r="E723" s="3">
        <v>1</v>
      </c>
    </row>
    <row r="724" spans="1:5">
      <c r="A724" s="29" t="s">
        <v>5094</v>
      </c>
      <c r="B724" s="29">
        <v>20160793</v>
      </c>
      <c r="C724" s="29" t="s">
        <v>96</v>
      </c>
      <c r="D724" s="2" t="s">
        <v>7</v>
      </c>
      <c r="E724" s="3">
        <v>1</v>
      </c>
    </row>
    <row r="725" spans="1:5">
      <c r="A725" s="29" t="s">
        <v>5094</v>
      </c>
      <c r="B725" s="29">
        <v>20160794</v>
      </c>
      <c r="C725" s="29" t="s">
        <v>96</v>
      </c>
      <c r="D725" s="2" t="s">
        <v>7</v>
      </c>
      <c r="E725" s="3">
        <v>1</v>
      </c>
    </row>
    <row r="726" spans="1:5">
      <c r="A726" s="29" t="s">
        <v>5094</v>
      </c>
      <c r="B726" s="29">
        <v>20160795</v>
      </c>
      <c r="C726" s="29" t="s">
        <v>96</v>
      </c>
      <c r="D726" s="2" t="s">
        <v>7</v>
      </c>
      <c r="E726" s="3">
        <v>1</v>
      </c>
    </row>
    <row r="727" spans="1:5">
      <c r="A727" s="29" t="s">
        <v>5094</v>
      </c>
      <c r="B727" s="29">
        <v>20160796</v>
      </c>
      <c r="C727" s="29" t="s">
        <v>96</v>
      </c>
      <c r="D727" s="2" t="s">
        <v>7</v>
      </c>
      <c r="E727" s="3">
        <v>1</v>
      </c>
    </row>
    <row r="728" spans="1:5">
      <c r="A728" s="29" t="s">
        <v>5094</v>
      </c>
      <c r="B728" s="29">
        <v>20160797</v>
      </c>
      <c r="C728" s="29" t="s">
        <v>96</v>
      </c>
      <c r="D728" s="2" t="s">
        <v>7</v>
      </c>
      <c r="E728" s="3">
        <v>1</v>
      </c>
    </row>
    <row r="729" spans="1:5">
      <c r="A729" s="29" t="s">
        <v>5094</v>
      </c>
      <c r="B729" s="29">
        <v>20160798</v>
      </c>
      <c r="C729" s="29" t="s">
        <v>96</v>
      </c>
      <c r="D729" s="2" t="s">
        <v>7</v>
      </c>
      <c r="E729" s="3">
        <v>1</v>
      </c>
    </row>
    <row r="730" spans="1:5">
      <c r="A730" s="29" t="s">
        <v>5094</v>
      </c>
      <c r="B730" s="29">
        <v>20160799</v>
      </c>
      <c r="C730" s="29" t="s">
        <v>96</v>
      </c>
      <c r="D730" s="2" t="s">
        <v>7</v>
      </c>
      <c r="E730" s="3">
        <v>1</v>
      </c>
    </row>
    <row r="731" spans="1:5">
      <c r="A731" s="29" t="s">
        <v>5094</v>
      </c>
      <c r="B731" s="29">
        <v>20160800</v>
      </c>
      <c r="C731" s="29" t="s">
        <v>96</v>
      </c>
      <c r="D731" s="2" t="s">
        <v>7</v>
      </c>
      <c r="E731" s="3">
        <v>1</v>
      </c>
    </row>
    <row r="732" spans="1:5">
      <c r="A732" s="29" t="s">
        <v>5094</v>
      </c>
      <c r="B732" s="29">
        <v>20160801</v>
      </c>
      <c r="C732" s="29" t="s">
        <v>96</v>
      </c>
      <c r="D732" s="2" t="s">
        <v>7</v>
      </c>
      <c r="E732" s="3">
        <v>1</v>
      </c>
    </row>
    <row r="733" spans="1:5">
      <c r="A733" s="29" t="s">
        <v>5094</v>
      </c>
      <c r="B733" s="29">
        <v>20160802</v>
      </c>
      <c r="C733" s="29" t="s">
        <v>96</v>
      </c>
      <c r="D733" s="2" t="s">
        <v>7</v>
      </c>
      <c r="E733" s="3">
        <v>1</v>
      </c>
    </row>
    <row r="734" spans="1:5">
      <c r="A734" s="29" t="s">
        <v>5094</v>
      </c>
      <c r="B734" s="29">
        <v>20160803</v>
      </c>
      <c r="C734" s="29" t="s">
        <v>96</v>
      </c>
      <c r="D734" s="2" t="s">
        <v>7</v>
      </c>
      <c r="E734" s="3">
        <v>1</v>
      </c>
    </row>
    <row r="735" spans="1:5">
      <c r="A735" s="29" t="s">
        <v>5094</v>
      </c>
      <c r="B735" s="29">
        <v>20160804</v>
      </c>
      <c r="C735" s="29" t="s">
        <v>96</v>
      </c>
      <c r="D735" s="2" t="s">
        <v>7</v>
      </c>
      <c r="E735" s="3">
        <v>1</v>
      </c>
    </row>
    <row r="736" spans="1:5">
      <c r="A736" s="29" t="s">
        <v>5094</v>
      </c>
      <c r="B736" s="29">
        <v>20160805</v>
      </c>
      <c r="C736" s="29" t="s">
        <v>96</v>
      </c>
      <c r="D736" s="2" t="s">
        <v>7</v>
      </c>
      <c r="E736" s="3">
        <v>1</v>
      </c>
    </row>
    <row r="737" spans="1:5">
      <c r="A737" s="29" t="s">
        <v>5094</v>
      </c>
      <c r="B737" s="29">
        <v>20160806</v>
      </c>
      <c r="C737" s="29" t="s">
        <v>96</v>
      </c>
      <c r="D737" s="2" t="s">
        <v>7</v>
      </c>
      <c r="E737" s="3">
        <v>1</v>
      </c>
    </row>
    <row r="738" spans="1:5">
      <c r="A738" s="29" t="s">
        <v>5094</v>
      </c>
      <c r="B738" s="29">
        <v>20160807</v>
      </c>
      <c r="C738" s="29" t="s">
        <v>96</v>
      </c>
      <c r="D738" s="2" t="s">
        <v>7</v>
      </c>
      <c r="E738" s="3">
        <v>1</v>
      </c>
    </row>
    <row r="739" spans="1:5">
      <c r="A739" s="29" t="s">
        <v>5094</v>
      </c>
      <c r="B739" s="29">
        <v>20160808</v>
      </c>
      <c r="C739" s="29" t="s">
        <v>96</v>
      </c>
      <c r="D739" s="2" t="s">
        <v>7</v>
      </c>
      <c r="E739" s="3">
        <v>1</v>
      </c>
    </row>
    <row r="740" spans="1:5">
      <c r="A740" s="29" t="s">
        <v>5094</v>
      </c>
      <c r="B740" s="29">
        <v>20160809</v>
      </c>
      <c r="C740" s="29" t="s">
        <v>96</v>
      </c>
      <c r="D740" s="2" t="s">
        <v>7</v>
      </c>
      <c r="E740" s="3">
        <v>1</v>
      </c>
    </row>
    <row r="741" spans="1:5">
      <c r="A741" s="29" t="s">
        <v>5094</v>
      </c>
      <c r="B741" s="29">
        <v>20160810</v>
      </c>
      <c r="C741" s="29" t="s">
        <v>96</v>
      </c>
      <c r="D741" s="2" t="s">
        <v>7</v>
      </c>
      <c r="E741" s="3">
        <v>1</v>
      </c>
    </row>
    <row r="742" spans="1:5">
      <c r="A742" s="29" t="s">
        <v>5094</v>
      </c>
      <c r="B742" s="29">
        <v>20160811</v>
      </c>
      <c r="C742" s="29" t="s">
        <v>96</v>
      </c>
      <c r="D742" s="2" t="s">
        <v>7</v>
      </c>
      <c r="E742" s="3">
        <v>1</v>
      </c>
    </row>
    <row r="743" spans="1:5">
      <c r="A743" s="29" t="s">
        <v>5094</v>
      </c>
      <c r="B743" s="29">
        <v>20160812</v>
      </c>
      <c r="C743" s="29" t="s">
        <v>96</v>
      </c>
      <c r="D743" s="2" t="s">
        <v>7</v>
      </c>
      <c r="E743" s="3">
        <v>1</v>
      </c>
    </row>
    <row r="744" spans="1:5">
      <c r="A744" s="29" t="s">
        <v>5094</v>
      </c>
      <c r="B744" s="29">
        <v>20160813</v>
      </c>
      <c r="C744" s="29" t="s">
        <v>96</v>
      </c>
      <c r="D744" s="2" t="s">
        <v>7</v>
      </c>
      <c r="E744" s="3">
        <v>1</v>
      </c>
    </row>
    <row r="745" spans="1:5">
      <c r="A745" s="29" t="s">
        <v>5094</v>
      </c>
      <c r="B745" s="29">
        <v>20160814</v>
      </c>
      <c r="C745" s="29" t="s">
        <v>96</v>
      </c>
      <c r="D745" s="2" t="s">
        <v>7</v>
      </c>
      <c r="E745" s="3">
        <v>1</v>
      </c>
    </row>
    <row r="746" spans="1:5">
      <c r="A746" s="29" t="s">
        <v>5094</v>
      </c>
      <c r="B746" s="29">
        <v>20160815</v>
      </c>
      <c r="C746" s="29" t="s">
        <v>96</v>
      </c>
      <c r="D746" s="2" t="s">
        <v>7</v>
      </c>
      <c r="E746" s="3">
        <v>1</v>
      </c>
    </row>
    <row r="747" spans="1:5">
      <c r="A747" s="29" t="s">
        <v>5094</v>
      </c>
      <c r="B747" s="29">
        <v>20160816</v>
      </c>
      <c r="C747" s="29" t="s">
        <v>96</v>
      </c>
      <c r="D747" s="2" t="s">
        <v>7</v>
      </c>
      <c r="E747" s="3">
        <v>1</v>
      </c>
    </row>
    <row r="748" spans="1:5">
      <c r="A748" s="29" t="s">
        <v>5094</v>
      </c>
      <c r="B748" s="29">
        <v>20160817</v>
      </c>
      <c r="C748" s="29" t="s">
        <v>96</v>
      </c>
      <c r="D748" s="2" t="s">
        <v>7</v>
      </c>
      <c r="E748" s="3">
        <v>1</v>
      </c>
    </row>
    <row r="749" spans="1:5">
      <c r="A749" s="29" t="s">
        <v>5094</v>
      </c>
      <c r="B749" s="29">
        <v>20160818</v>
      </c>
      <c r="C749" s="29" t="s">
        <v>96</v>
      </c>
      <c r="D749" s="2" t="s">
        <v>7</v>
      </c>
      <c r="E749" s="3">
        <v>1</v>
      </c>
    </row>
    <row r="750" spans="1:5">
      <c r="A750" s="29" t="s">
        <v>5094</v>
      </c>
      <c r="B750" s="29">
        <v>20160819</v>
      </c>
      <c r="C750" s="29" t="s">
        <v>96</v>
      </c>
      <c r="D750" s="2" t="s">
        <v>7</v>
      </c>
      <c r="E750" s="3">
        <v>1</v>
      </c>
    </row>
    <row r="751" spans="1:5">
      <c r="A751" s="29" t="s">
        <v>5094</v>
      </c>
      <c r="B751" s="29">
        <v>20160820</v>
      </c>
      <c r="C751" s="29" t="s">
        <v>96</v>
      </c>
      <c r="D751" s="2" t="s">
        <v>7</v>
      </c>
      <c r="E751" s="3">
        <v>1</v>
      </c>
    </row>
    <row r="752" spans="1:5">
      <c r="A752" s="29" t="s">
        <v>5094</v>
      </c>
      <c r="B752" s="29">
        <v>20160821</v>
      </c>
      <c r="C752" s="29" t="s">
        <v>96</v>
      </c>
      <c r="D752" s="2" t="s">
        <v>7</v>
      </c>
      <c r="E752" s="3">
        <v>1</v>
      </c>
    </row>
    <row r="753" spans="1:5">
      <c r="A753" s="29" t="s">
        <v>5094</v>
      </c>
      <c r="B753" s="29">
        <v>20160822</v>
      </c>
      <c r="C753" s="29" t="s">
        <v>96</v>
      </c>
      <c r="D753" s="2" t="s">
        <v>7</v>
      </c>
      <c r="E753" s="3">
        <v>1</v>
      </c>
    </row>
    <row r="754" spans="1:5">
      <c r="A754" s="29" t="s">
        <v>5094</v>
      </c>
      <c r="B754" s="29">
        <v>20160823</v>
      </c>
      <c r="C754" s="29" t="s">
        <v>96</v>
      </c>
      <c r="D754" s="2" t="s">
        <v>7</v>
      </c>
      <c r="E754" s="3">
        <v>1</v>
      </c>
    </row>
    <row r="755" spans="1:5">
      <c r="A755" s="29" t="s">
        <v>5094</v>
      </c>
      <c r="B755" s="29">
        <v>20160824</v>
      </c>
      <c r="C755" s="29" t="s">
        <v>96</v>
      </c>
      <c r="D755" s="2" t="s">
        <v>7</v>
      </c>
      <c r="E755" s="3">
        <v>1</v>
      </c>
    </row>
    <row r="756" spans="1:5">
      <c r="A756" s="29" t="s">
        <v>5094</v>
      </c>
      <c r="B756" s="29">
        <v>20160825</v>
      </c>
      <c r="C756" s="29" t="s">
        <v>96</v>
      </c>
      <c r="D756" s="2" t="s">
        <v>7</v>
      </c>
      <c r="E756" s="3">
        <v>1</v>
      </c>
    </row>
    <row r="757" spans="1:5">
      <c r="A757" s="29" t="s">
        <v>5094</v>
      </c>
      <c r="B757" s="29">
        <v>20160826</v>
      </c>
      <c r="C757" s="29" t="s">
        <v>96</v>
      </c>
      <c r="D757" s="2" t="s">
        <v>7</v>
      </c>
      <c r="E757" s="3">
        <v>1</v>
      </c>
    </row>
    <row r="758" spans="1:5">
      <c r="A758" s="29" t="s">
        <v>5094</v>
      </c>
      <c r="B758" s="29">
        <v>20160827</v>
      </c>
      <c r="C758" s="29" t="s">
        <v>96</v>
      </c>
      <c r="D758" s="2" t="s">
        <v>7</v>
      </c>
      <c r="E758" s="3">
        <v>1</v>
      </c>
    </row>
    <row r="759" spans="1:5">
      <c r="A759" s="29" t="s">
        <v>5094</v>
      </c>
      <c r="B759" s="29">
        <v>20160828</v>
      </c>
      <c r="C759" s="29" t="s">
        <v>96</v>
      </c>
      <c r="D759" s="2" t="s">
        <v>7</v>
      </c>
      <c r="E759" s="3">
        <v>1</v>
      </c>
    </row>
    <row r="760" spans="1:5">
      <c r="A760" s="29" t="s">
        <v>5094</v>
      </c>
      <c r="B760" s="29">
        <v>20160829</v>
      </c>
      <c r="C760" s="29" t="s">
        <v>96</v>
      </c>
      <c r="D760" s="2" t="s">
        <v>7</v>
      </c>
      <c r="E760" s="3">
        <v>1</v>
      </c>
    </row>
    <row r="761" spans="1:5">
      <c r="A761" s="29" t="s">
        <v>5094</v>
      </c>
      <c r="B761" s="29">
        <v>20160830</v>
      </c>
      <c r="C761" s="29" t="s">
        <v>96</v>
      </c>
      <c r="D761" s="2" t="s">
        <v>7</v>
      </c>
      <c r="E761" s="3">
        <v>1</v>
      </c>
    </row>
    <row r="762" spans="1:5">
      <c r="A762" s="29" t="s">
        <v>5094</v>
      </c>
      <c r="B762" s="29">
        <v>20160831</v>
      </c>
      <c r="C762" s="29" t="s">
        <v>96</v>
      </c>
      <c r="D762" s="2" t="s">
        <v>7</v>
      </c>
      <c r="E762" s="3">
        <v>1</v>
      </c>
    </row>
    <row r="763" spans="1:5">
      <c r="A763" s="29" t="s">
        <v>5094</v>
      </c>
      <c r="B763" s="29">
        <v>20160832</v>
      </c>
      <c r="C763" s="29" t="s">
        <v>96</v>
      </c>
      <c r="D763" s="2" t="s">
        <v>7</v>
      </c>
      <c r="E763" s="3">
        <v>1</v>
      </c>
    </row>
    <row r="764" spans="1:5">
      <c r="A764" s="29" t="s">
        <v>5094</v>
      </c>
      <c r="B764" s="29">
        <v>20160833</v>
      </c>
      <c r="C764" s="29" t="s">
        <v>96</v>
      </c>
      <c r="D764" s="2" t="s">
        <v>7</v>
      </c>
      <c r="E764" s="3">
        <v>1</v>
      </c>
    </row>
    <row r="765" spans="1:5">
      <c r="A765" s="29" t="s">
        <v>5094</v>
      </c>
      <c r="B765" s="29">
        <v>20160834</v>
      </c>
      <c r="C765" s="29" t="s">
        <v>96</v>
      </c>
      <c r="D765" s="2" t="s">
        <v>7</v>
      </c>
      <c r="E765" s="3">
        <v>1</v>
      </c>
    </row>
    <row r="766" spans="1:5">
      <c r="A766" s="29" t="s">
        <v>5094</v>
      </c>
      <c r="B766" s="29">
        <v>20160835</v>
      </c>
      <c r="C766" s="29" t="s">
        <v>96</v>
      </c>
      <c r="D766" s="2" t="s">
        <v>7</v>
      </c>
      <c r="E766" s="3">
        <v>1</v>
      </c>
    </row>
    <row r="767" spans="1:5">
      <c r="A767" s="29" t="s">
        <v>5094</v>
      </c>
      <c r="B767" s="29">
        <v>20160836</v>
      </c>
      <c r="C767" s="29" t="s">
        <v>96</v>
      </c>
      <c r="D767" s="2" t="s">
        <v>7</v>
      </c>
      <c r="E767" s="3">
        <v>1</v>
      </c>
    </row>
    <row r="768" spans="1:5">
      <c r="A768" s="29" t="s">
        <v>5094</v>
      </c>
      <c r="B768" s="29">
        <v>20160837</v>
      </c>
      <c r="C768" s="29" t="s">
        <v>96</v>
      </c>
      <c r="D768" s="2" t="s">
        <v>7</v>
      </c>
      <c r="E768" s="3">
        <v>1</v>
      </c>
    </row>
    <row r="769" spans="1:5">
      <c r="A769" s="29" t="s">
        <v>5094</v>
      </c>
      <c r="B769" s="29">
        <v>20160838</v>
      </c>
      <c r="C769" s="29" t="s">
        <v>96</v>
      </c>
      <c r="D769" s="2" t="s">
        <v>7</v>
      </c>
      <c r="E769" s="3">
        <v>1</v>
      </c>
    </row>
    <row r="770" spans="1:5">
      <c r="A770" s="29" t="s">
        <v>5094</v>
      </c>
      <c r="B770" s="29">
        <v>20160839</v>
      </c>
      <c r="C770" s="29" t="s">
        <v>96</v>
      </c>
      <c r="D770" s="2" t="s">
        <v>7</v>
      </c>
      <c r="E770" s="3">
        <v>1</v>
      </c>
    </row>
    <row r="771" spans="1:5">
      <c r="A771" s="29" t="s">
        <v>5094</v>
      </c>
      <c r="B771" s="29">
        <v>20160840</v>
      </c>
      <c r="C771" s="29" t="s">
        <v>96</v>
      </c>
      <c r="D771" s="2" t="s">
        <v>7</v>
      </c>
      <c r="E771" s="3">
        <v>1</v>
      </c>
    </row>
    <row r="772" spans="1:5">
      <c r="A772" s="29" t="s">
        <v>5094</v>
      </c>
      <c r="B772" s="29">
        <v>20160841</v>
      </c>
      <c r="C772" s="29" t="s">
        <v>96</v>
      </c>
      <c r="D772" s="2" t="s">
        <v>7</v>
      </c>
      <c r="E772" s="3">
        <v>1</v>
      </c>
    </row>
    <row r="773" spans="1:5">
      <c r="A773" s="29" t="s">
        <v>5094</v>
      </c>
      <c r="B773" s="29">
        <v>20160842</v>
      </c>
      <c r="C773" s="29" t="s">
        <v>96</v>
      </c>
      <c r="D773" s="2" t="s">
        <v>7</v>
      </c>
      <c r="E773" s="3">
        <v>1</v>
      </c>
    </row>
    <row r="774" spans="1:5">
      <c r="A774" s="29" t="s">
        <v>5094</v>
      </c>
      <c r="B774" s="29">
        <v>20160843</v>
      </c>
      <c r="C774" s="29" t="s">
        <v>96</v>
      </c>
      <c r="D774" s="2" t="s">
        <v>7</v>
      </c>
      <c r="E774" s="3">
        <v>1</v>
      </c>
    </row>
    <row r="775" spans="1:5">
      <c r="A775" s="29" t="s">
        <v>5094</v>
      </c>
      <c r="B775" s="29">
        <v>20160844</v>
      </c>
      <c r="C775" s="29" t="s">
        <v>96</v>
      </c>
      <c r="D775" s="2" t="s">
        <v>7</v>
      </c>
      <c r="E775" s="3">
        <v>1</v>
      </c>
    </row>
    <row r="776" spans="1:5">
      <c r="A776" s="29" t="s">
        <v>5094</v>
      </c>
      <c r="B776" s="29">
        <v>20160845</v>
      </c>
      <c r="C776" s="29" t="s">
        <v>96</v>
      </c>
      <c r="D776" s="2" t="s">
        <v>7</v>
      </c>
      <c r="E776" s="3">
        <v>1</v>
      </c>
    </row>
    <row r="777" spans="1:5">
      <c r="A777" s="29" t="s">
        <v>5094</v>
      </c>
      <c r="B777" s="29">
        <v>20160846</v>
      </c>
      <c r="C777" s="29" t="s">
        <v>96</v>
      </c>
      <c r="D777" s="2" t="s">
        <v>7</v>
      </c>
      <c r="E777" s="3">
        <v>1</v>
      </c>
    </row>
    <row r="778" spans="1:5">
      <c r="A778" s="29" t="s">
        <v>5094</v>
      </c>
      <c r="B778" s="29">
        <v>20210959</v>
      </c>
      <c r="C778" s="29" t="s">
        <v>96</v>
      </c>
      <c r="D778" s="2" t="s">
        <v>7</v>
      </c>
      <c r="E778" s="3">
        <v>1</v>
      </c>
    </row>
    <row r="779" spans="1:5">
      <c r="A779" s="29" t="s">
        <v>5094</v>
      </c>
      <c r="B779" s="29">
        <v>20210960</v>
      </c>
      <c r="C779" s="29" t="s">
        <v>96</v>
      </c>
      <c r="D779" s="2" t="s">
        <v>7</v>
      </c>
      <c r="E779" s="3">
        <v>1</v>
      </c>
    </row>
    <row r="780" spans="1:5">
      <c r="A780" s="29" t="s">
        <v>5094</v>
      </c>
      <c r="B780" s="29">
        <v>20210961</v>
      </c>
      <c r="C780" s="29" t="s">
        <v>96</v>
      </c>
      <c r="D780" s="2" t="s">
        <v>7</v>
      </c>
      <c r="E780" s="3">
        <v>1</v>
      </c>
    </row>
    <row r="781" spans="1:5">
      <c r="A781" s="29" t="s">
        <v>5094</v>
      </c>
      <c r="B781" s="29">
        <v>20210962</v>
      </c>
      <c r="C781" s="29" t="s">
        <v>96</v>
      </c>
      <c r="D781" s="2" t="s">
        <v>7</v>
      </c>
      <c r="E781" s="3">
        <v>1</v>
      </c>
    </row>
    <row r="782" spans="1:5">
      <c r="A782" s="29" t="s">
        <v>5094</v>
      </c>
      <c r="B782" s="29">
        <v>20210963</v>
      </c>
      <c r="C782" s="29" t="s">
        <v>96</v>
      </c>
      <c r="D782" s="2" t="s">
        <v>7</v>
      </c>
      <c r="E782" s="3">
        <v>1</v>
      </c>
    </row>
    <row r="783" spans="1:5">
      <c r="A783" s="29" t="s">
        <v>5094</v>
      </c>
      <c r="B783" s="29">
        <v>20210964</v>
      </c>
      <c r="C783" s="29" t="s">
        <v>96</v>
      </c>
      <c r="D783" s="2" t="s">
        <v>7</v>
      </c>
      <c r="E783" s="3">
        <v>1</v>
      </c>
    </row>
    <row r="784" spans="1:5">
      <c r="A784" s="29" t="s">
        <v>5094</v>
      </c>
      <c r="B784" s="29">
        <v>20210965</v>
      </c>
      <c r="C784" s="29" t="s">
        <v>96</v>
      </c>
      <c r="D784" s="2" t="s">
        <v>7</v>
      </c>
      <c r="E784" s="3">
        <v>1</v>
      </c>
    </row>
    <row r="785" spans="1:5">
      <c r="A785" s="29" t="s">
        <v>5094</v>
      </c>
      <c r="B785" s="29">
        <v>20210966</v>
      </c>
      <c r="C785" s="29" t="s">
        <v>96</v>
      </c>
      <c r="D785" s="2" t="s">
        <v>7</v>
      </c>
      <c r="E785" s="3">
        <v>1</v>
      </c>
    </row>
    <row r="786" spans="1:5">
      <c r="A786" s="29" t="s">
        <v>5094</v>
      </c>
      <c r="B786" s="29">
        <v>20210967</v>
      </c>
      <c r="C786" s="29" t="s">
        <v>96</v>
      </c>
      <c r="D786" s="2" t="s">
        <v>7</v>
      </c>
      <c r="E786" s="3">
        <v>1</v>
      </c>
    </row>
    <row r="787" spans="1:5">
      <c r="A787" s="29" t="s">
        <v>5094</v>
      </c>
      <c r="B787" s="29">
        <v>20210968</v>
      </c>
      <c r="C787" s="29" t="s">
        <v>96</v>
      </c>
      <c r="D787" s="2" t="s">
        <v>7</v>
      </c>
      <c r="E787" s="3">
        <v>1</v>
      </c>
    </row>
    <row r="788" spans="1:5">
      <c r="A788" s="29" t="s">
        <v>5094</v>
      </c>
      <c r="B788" s="29">
        <v>20210969</v>
      </c>
      <c r="C788" s="29" t="s">
        <v>96</v>
      </c>
      <c r="D788" s="2" t="s">
        <v>7</v>
      </c>
      <c r="E788" s="3">
        <v>1</v>
      </c>
    </row>
    <row r="789" spans="1:5">
      <c r="A789" s="29" t="s">
        <v>5094</v>
      </c>
      <c r="B789" s="29">
        <v>20210970</v>
      </c>
      <c r="C789" s="29" t="s">
        <v>96</v>
      </c>
      <c r="D789" s="2" t="s">
        <v>7</v>
      </c>
      <c r="E789" s="3">
        <v>1</v>
      </c>
    </row>
    <row r="790" spans="1:5">
      <c r="A790" s="29" t="s">
        <v>5094</v>
      </c>
      <c r="B790" s="29">
        <v>20210971</v>
      </c>
      <c r="C790" s="29" t="s">
        <v>96</v>
      </c>
      <c r="D790" s="2" t="s">
        <v>7</v>
      </c>
      <c r="E790" s="3">
        <v>1</v>
      </c>
    </row>
    <row r="791" spans="1:5">
      <c r="A791" s="29" t="s">
        <v>5094</v>
      </c>
      <c r="B791" s="29">
        <v>20210972</v>
      </c>
      <c r="C791" s="29" t="s">
        <v>96</v>
      </c>
      <c r="D791" s="2" t="s">
        <v>7</v>
      </c>
      <c r="E791" s="3">
        <v>1</v>
      </c>
    </row>
    <row r="792" spans="1:5">
      <c r="A792" s="29" t="s">
        <v>5094</v>
      </c>
      <c r="B792" s="29">
        <v>20210973</v>
      </c>
      <c r="C792" s="29" t="s">
        <v>96</v>
      </c>
      <c r="D792" s="2" t="s">
        <v>7</v>
      </c>
      <c r="E792" s="3">
        <v>1</v>
      </c>
    </row>
    <row r="793" spans="1:5">
      <c r="A793" s="29" t="s">
        <v>5094</v>
      </c>
      <c r="B793" s="29">
        <v>20210974</v>
      </c>
      <c r="C793" s="29" t="s">
        <v>96</v>
      </c>
      <c r="D793" s="2" t="s">
        <v>7</v>
      </c>
      <c r="E793" s="3">
        <v>1</v>
      </c>
    </row>
    <row r="794" spans="1:5">
      <c r="A794" s="29" t="s">
        <v>5094</v>
      </c>
      <c r="B794" s="29">
        <v>20210975</v>
      </c>
      <c r="C794" s="29" t="s">
        <v>96</v>
      </c>
      <c r="D794" s="2" t="s">
        <v>7</v>
      </c>
      <c r="E794" s="3">
        <v>1</v>
      </c>
    </row>
    <row r="795" spans="1:5">
      <c r="A795" s="29" t="s">
        <v>5094</v>
      </c>
      <c r="B795" s="29">
        <v>20210976</v>
      </c>
      <c r="C795" s="29" t="s">
        <v>96</v>
      </c>
      <c r="D795" s="2" t="s">
        <v>7</v>
      </c>
      <c r="E795" s="3">
        <v>1</v>
      </c>
    </row>
    <row r="796" spans="1:5">
      <c r="A796" s="29" t="s">
        <v>5094</v>
      </c>
      <c r="B796" s="29">
        <v>20210977</v>
      </c>
      <c r="C796" s="29" t="s">
        <v>96</v>
      </c>
      <c r="D796" s="2" t="s">
        <v>7</v>
      </c>
      <c r="E796" s="3">
        <v>1</v>
      </c>
    </row>
    <row r="797" spans="1:5">
      <c r="A797" s="29" t="s">
        <v>5094</v>
      </c>
      <c r="B797" s="29">
        <v>20210978</v>
      </c>
      <c r="C797" s="29" t="s">
        <v>96</v>
      </c>
      <c r="D797" s="2" t="s">
        <v>7</v>
      </c>
      <c r="E797" s="3">
        <v>1</v>
      </c>
    </row>
    <row r="798" spans="1:5">
      <c r="A798" s="29" t="s">
        <v>5094</v>
      </c>
      <c r="B798" s="29">
        <v>20210979</v>
      </c>
      <c r="C798" s="29" t="s">
        <v>96</v>
      </c>
      <c r="D798" s="2" t="s">
        <v>7</v>
      </c>
      <c r="E798" s="3">
        <v>1</v>
      </c>
    </row>
    <row r="799" spans="1:5">
      <c r="A799" s="29" t="s">
        <v>5094</v>
      </c>
      <c r="B799" s="29">
        <v>20210980</v>
      </c>
      <c r="C799" s="29" t="s">
        <v>96</v>
      </c>
      <c r="D799" s="2" t="s">
        <v>7</v>
      </c>
      <c r="E799" s="3">
        <v>1</v>
      </c>
    </row>
    <row r="800" spans="1:5">
      <c r="A800" s="29" t="s">
        <v>5094</v>
      </c>
      <c r="B800" s="29">
        <v>20210981</v>
      </c>
      <c r="C800" s="29" t="s">
        <v>96</v>
      </c>
      <c r="D800" s="2" t="s">
        <v>7</v>
      </c>
      <c r="E800" s="3">
        <v>1</v>
      </c>
    </row>
    <row r="801" spans="1:5">
      <c r="A801" s="29" t="s">
        <v>5094</v>
      </c>
      <c r="B801" s="29">
        <v>20210982</v>
      </c>
      <c r="C801" s="29" t="s">
        <v>96</v>
      </c>
      <c r="D801" s="2" t="s">
        <v>7</v>
      </c>
      <c r="E801" s="3">
        <v>1</v>
      </c>
    </row>
    <row r="802" spans="1:5">
      <c r="A802" s="29" t="s">
        <v>5094</v>
      </c>
      <c r="B802" s="29">
        <v>20210983</v>
      </c>
      <c r="C802" s="29" t="s">
        <v>96</v>
      </c>
      <c r="D802" s="2" t="s">
        <v>7</v>
      </c>
      <c r="E802" s="3">
        <v>1</v>
      </c>
    </row>
    <row r="803" spans="1:5">
      <c r="A803" s="29" t="s">
        <v>5094</v>
      </c>
      <c r="B803" s="29">
        <v>20210984</v>
      </c>
      <c r="C803" s="29" t="s">
        <v>96</v>
      </c>
      <c r="D803" s="2" t="s">
        <v>7</v>
      </c>
      <c r="E803" s="3">
        <v>1</v>
      </c>
    </row>
    <row r="804" spans="1:5">
      <c r="A804" s="29" t="s">
        <v>5094</v>
      </c>
      <c r="B804" s="29">
        <v>20210985</v>
      </c>
      <c r="C804" s="29" t="s">
        <v>96</v>
      </c>
      <c r="D804" s="2" t="s">
        <v>7</v>
      </c>
      <c r="E804" s="3">
        <v>1</v>
      </c>
    </row>
    <row r="805" spans="1:5">
      <c r="A805" s="29" t="s">
        <v>5094</v>
      </c>
      <c r="B805" s="29">
        <v>20210986</v>
      </c>
      <c r="C805" s="29" t="s">
        <v>96</v>
      </c>
      <c r="D805" s="2" t="s">
        <v>7</v>
      </c>
      <c r="E805" s="3">
        <v>1</v>
      </c>
    </row>
    <row r="806" spans="1:5">
      <c r="A806" s="29" t="s">
        <v>5094</v>
      </c>
      <c r="B806" s="29">
        <v>20210987</v>
      </c>
      <c r="C806" s="29" t="s">
        <v>96</v>
      </c>
      <c r="D806" s="2" t="s">
        <v>7</v>
      </c>
      <c r="E806" s="3">
        <v>1</v>
      </c>
    </row>
    <row r="807" spans="1:5">
      <c r="A807" s="29" t="s">
        <v>5094</v>
      </c>
      <c r="B807" s="29">
        <v>20210988</v>
      </c>
      <c r="C807" s="29" t="s">
        <v>96</v>
      </c>
      <c r="D807" s="2" t="s">
        <v>7</v>
      </c>
      <c r="E807" s="3">
        <v>1</v>
      </c>
    </row>
    <row r="808" spans="1:5">
      <c r="A808" s="29" t="s">
        <v>5094</v>
      </c>
      <c r="B808" s="29">
        <v>20210989</v>
      </c>
      <c r="C808" s="29" t="s">
        <v>96</v>
      </c>
      <c r="D808" s="2" t="s">
        <v>7</v>
      </c>
      <c r="E808" s="3">
        <v>1</v>
      </c>
    </row>
    <row r="809" spans="1:5">
      <c r="A809" s="29" t="s">
        <v>5094</v>
      </c>
      <c r="B809" s="29">
        <v>20210990</v>
      </c>
      <c r="C809" s="29" t="s">
        <v>96</v>
      </c>
      <c r="D809" s="2" t="s">
        <v>7</v>
      </c>
      <c r="E809" s="3">
        <v>1</v>
      </c>
    </row>
    <row r="810" spans="1:5">
      <c r="A810" s="29" t="s">
        <v>5094</v>
      </c>
      <c r="B810" s="29">
        <v>20210991</v>
      </c>
      <c r="C810" s="29" t="s">
        <v>96</v>
      </c>
      <c r="D810" s="2" t="s">
        <v>7</v>
      </c>
      <c r="E810" s="3">
        <v>1</v>
      </c>
    </row>
    <row r="811" spans="1:5">
      <c r="A811" s="29" t="s">
        <v>5094</v>
      </c>
      <c r="B811" s="29">
        <v>20210992</v>
      </c>
      <c r="C811" s="29" t="s">
        <v>96</v>
      </c>
      <c r="D811" s="2" t="s">
        <v>7</v>
      </c>
      <c r="E811" s="3">
        <v>1</v>
      </c>
    </row>
    <row r="812" spans="1:5">
      <c r="A812" s="29" t="s">
        <v>5094</v>
      </c>
      <c r="B812" s="29">
        <v>20210993</v>
      </c>
      <c r="C812" s="29" t="s">
        <v>96</v>
      </c>
      <c r="D812" s="2" t="s">
        <v>7</v>
      </c>
      <c r="E812" s="3">
        <v>1</v>
      </c>
    </row>
    <row r="813" spans="1:5">
      <c r="A813" s="29" t="s">
        <v>5094</v>
      </c>
      <c r="B813" s="29">
        <v>20210994</v>
      </c>
      <c r="C813" s="29" t="s">
        <v>96</v>
      </c>
      <c r="D813" s="2" t="s">
        <v>7</v>
      </c>
      <c r="E813" s="3">
        <v>1</v>
      </c>
    </row>
    <row r="814" spans="1:5">
      <c r="A814" s="29" t="s">
        <v>5094</v>
      </c>
      <c r="B814" s="29">
        <v>20210995</v>
      </c>
      <c r="C814" s="29" t="s">
        <v>96</v>
      </c>
      <c r="D814" s="2" t="s">
        <v>7</v>
      </c>
      <c r="E814" s="3">
        <v>1</v>
      </c>
    </row>
    <row r="815" spans="1:5">
      <c r="A815" s="29" t="s">
        <v>5094</v>
      </c>
      <c r="B815" s="29">
        <v>20210996</v>
      </c>
      <c r="C815" s="29" t="s">
        <v>96</v>
      </c>
      <c r="D815" s="2" t="s">
        <v>7</v>
      </c>
      <c r="E815" s="3">
        <v>1</v>
      </c>
    </row>
    <row r="816" spans="1:5">
      <c r="A816" s="29" t="s">
        <v>5094</v>
      </c>
      <c r="B816" s="29">
        <v>20210997</v>
      </c>
      <c r="C816" s="29" t="s">
        <v>96</v>
      </c>
      <c r="D816" s="2" t="s">
        <v>7</v>
      </c>
      <c r="E816" s="3">
        <v>1</v>
      </c>
    </row>
    <row r="817" spans="1:5">
      <c r="A817" s="29" t="s">
        <v>5094</v>
      </c>
      <c r="B817" s="29">
        <v>20210998</v>
      </c>
      <c r="C817" s="29" t="s">
        <v>96</v>
      </c>
      <c r="D817" s="2" t="s">
        <v>7</v>
      </c>
      <c r="E817" s="3">
        <v>1</v>
      </c>
    </row>
    <row r="818" spans="1:5">
      <c r="A818" s="29" t="s">
        <v>5094</v>
      </c>
      <c r="B818" s="29">
        <v>20210999</v>
      </c>
      <c r="C818" s="29" t="s">
        <v>96</v>
      </c>
      <c r="D818" s="2" t="s">
        <v>7</v>
      </c>
      <c r="E818" s="3">
        <v>1</v>
      </c>
    </row>
    <row r="819" spans="1:5">
      <c r="A819" s="29" t="s">
        <v>5094</v>
      </c>
      <c r="B819" s="29">
        <v>20211000</v>
      </c>
      <c r="C819" s="29" t="s">
        <v>96</v>
      </c>
      <c r="D819" s="2" t="s">
        <v>7</v>
      </c>
      <c r="E819" s="3">
        <v>1</v>
      </c>
    </row>
    <row r="820" spans="1:5">
      <c r="A820" s="29" t="s">
        <v>5094</v>
      </c>
      <c r="B820" s="29">
        <v>20211001</v>
      </c>
      <c r="C820" s="29" t="s">
        <v>96</v>
      </c>
      <c r="D820" s="2" t="s">
        <v>7</v>
      </c>
      <c r="E820" s="3">
        <v>1</v>
      </c>
    </row>
    <row r="821" spans="1:5">
      <c r="A821" s="29" t="s">
        <v>5094</v>
      </c>
      <c r="B821" s="29">
        <v>20211002</v>
      </c>
      <c r="C821" s="29" t="s">
        <v>96</v>
      </c>
      <c r="D821" s="2" t="s">
        <v>7</v>
      </c>
      <c r="E821" s="3">
        <v>1</v>
      </c>
    </row>
    <row r="822" spans="1:5">
      <c r="A822" s="29" t="s">
        <v>5094</v>
      </c>
      <c r="B822" s="29">
        <v>20211003</v>
      </c>
      <c r="C822" s="29" t="s">
        <v>96</v>
      </c>
      <c r="D822" s="2" t="s">
        <v>7</v>
      </c>
      <c r="E822" s="3">
        <v>1</v>
      </c>
    </row>
    <row r="823" spans="1:5">
      <c r="A823" s="29" t="s">
        <v>5094</v>
      </c>
      <c r="B823" s="29">
        <v>20211004</v>
      </c>
      <c r="C823" s="29" t="s">
        <v>96</v>
      </c>
      <c r="D823" s="2" t="s">
        <v>7</v>
      </c>
      <c r="E823" s="3">
        <v>1</v>
      </c>
    </row>
    <row r="824" spans="1:5">
      <c r="A824" s="29" t="s">
        <v>5094</v>
      </c>
      <c r="B824" s="29">
        <v>20211005</v>
      </c>
      <c r="C824" s="29" t="s">
        <v>96</v>
      </c>
      <c r="D824" s="2" t="s">
        <v>7</v>
      </c>
      <c r="E824" s="3">
        <v>1</v>
      </c>
    </row>
    <row r="825" spans="1:5">
      <c r="A825" s="29" t="s">
        <v>5094</v>
      </c>
      <c r="B825" s="29">
        <v>20211006</v>
      </c>
      <c r="C825" s="29" t="s">
        <v>96</v>
      </c>
      <c r="D825" s="2" t="s">
        <v>7</v>
      </c>
      <c r="E825" s="3">
        <v>1</v>
      </c>
    </row>
    <row r="826" spans="1:5">
      <c r="A826" s="29" t="s">
        <v>5094</v>
      </c>
      <c r="B826" s="29">
        <v>20211007</v>
      </c>
      <c r="C826" s="29" t="s">
        <v>96</v>
      </c>
      <c r="D826" s="2" t="s">
        <v>7</v>
      </c>
      <c r="E826" s="3">
        <v>1</v>
      </c>
    </row>
    <row r="827" spans="1:5">
      <c r="A827" s="29" t="s">
        <v>5094</v>
      </c>
      <c r="B827" s="29">
        <v>20211008</v>
      </c>
      <c r="C827" s="29" t="s">
        <v>96</v>
      </c>
      <c r="D827" s="2" t="s">
        <v>7</v>
      </c>
      <c r="E827" s="3">
        <v>1</v>
      </c>
    </row>
    <row r="828" spans="1:5">
      <c r="A828" s="29" t="s">
        <v>5094</v>
      </c>
      <c r="B828" s="29">
        <v>20211009</v>
      </c>
      <c r="C828" s="29" t="s">
        <v>96</v>
      </c>
      <c r="D828" s="2" t="s">
        <v>7</v>
      </c>
      <c r="E828" s="3">
        <v>1</v>
      </c>
    </row>
    <row r="829" spans="1:5">
      <c r="A829" s="29" t="s">
        <v>5094</v>
      </c>
      <c r="B829" s="29">
        <v>20211010</v>
      </c>
      <c r="C829" s="29" t="s">
        <v>96</v>
      </c>
      <c r="D829" s="2" t="s">
        <v>7</v>
      </c>
      <c r="E829" s="3">
        <v>1</v>
      </c>
    </row>
    <row r="830" spans="1:5">
      <c r="A830" s="29" t="s">
        <v>5094</v>
      </c>
      <c r="B830" s="29">
        <v>20211011</v>
      </c>
      <c r="C830" s="29" t="s">
        <v>96</v>
      </c>
      <c r="D830" s="2" t="s">
        <v>7</v>
      </c>
      <c r="E830" s="3">
        <v>1</v>
      </c>
    </row>
    <row r="831" spans="1:5">
      <c r="A831" s="29" t="s">
        <v>5094</v>
      </c>
      <c r="B831" s="29">
        <v>20211012</v>
      </c>
      <c r="C831" s="29" t="s">
        <v>96</v>
      </c>
      <c r="D831" s="2" t="s">
        <v>7</v>
      </c>
      <c r="E831" s="3">
        <v>1</v>
      </c>
    </row>
    <row r="832" spans="1:5">
      <c r="A832" s="29" t="s">
        <v>5094</v>
      </c>
      <c r="B832" s="29">
        <v>20211013</v>
      </c>
      <c r="C832" s="29" t="s">
        <v>96</v>
      </c>
      <c r="D832" s="2" t="s">
        <v>7</v>
      </c>
      <c r="E832" s="3">
        <v>1</v>
      </c>
    </row>
    <row r="833" spans="1:5">
      <c r="A833" s="29" t="s">
        <v>5094</v>
      </c>
      <c r="B833" s="29">
        <v>20110501</v>
      </c>
      <c r="C833" s="29" t="s">
        <v>96</v>
      </c>
      <c r="D833" s="2" t="s">
        <v>7</v>
      </c>
      <c r="E833" s="3">
        <v>1</v>
      </c>
    </row>
    <row r="834" spans="1:5">
      <c r="A834" s="29" t="s">
        <v>5094</v>
      </c>
      <c r="B834" s="29">
        <v>20110502</v>
      </c>
      <c r="C834" s="29" t="s">
        <v>96</v>
      </c>
      <c r="D834" s="2" t="s">
        <v>7</v>
      </c>
      <c r="E834" s="3">
        <v>1</v>
      </c>
    </row>
    <row r="835" spans="1:5">
      <c r="A835" s="29" t="s">
        <v>5094</v>
      </c>
      <c r="B835" s="29">
        <v>20110503</v>
      </c>
      <c r="C835" s="29" t="s">
        <v>96</v>
      </c>
      <c r="D835" s="2" t="s">
        <v>7</v>
      </c>
      <c r="E835" s="3">
        <v>1</v>
      </c>
    </row>
    <row r="836" spans="1:5">
      <c r="A836" s="29" t="s">
        <v>5094</v>
      </c>
      <c r="B836" s="29">
        <v>20110504</v>
      </c>
      <c r="C836" s="29" t="s">
        <v>96</v>
      </c>
      <c r="D836" s="2" t="s">
        <v>7</v>
      </c>
      <c r="E836" s="3">
        <v>1</v>
      </c>
    </row>
    <row r="837" spans="1:5">
      <c r="A837" s="29" t="s">
        <v>5094</v>
      </c>
      <c r="B837" s="29">
        <v>20110505</v>
      </c>
      <c r="C837" s="29" t="s">
        <v>96</v>
      </c>
      <c r="D837" s="2" t="s">
        <v>7</v>
      </c>
      <c r="E837" s="3">
        <v>1</v>
      </c>
    </row>
    <row r="838" spans="1:5">
      <c r="A838" s="29" t="s">
        <v>5094</v>
      </c>
      <c r="B838" s="29">
        <v>20110506</v>
      </c>
      <c r="C838" s="29" t="s">
        <v>96</v>
      </c>
      <c r="D838" s="2" t="s">
        <v>7</v>
      </c>
      <c r="E838" s="3">
        <v>1</v>
      </c>
    </row>
    <row r="839" spans="1:5">
      <c r="A839" s="29" t="s">
        <v>5094</v>
      </c>
      <c r="B839" s="29">
        <v>20110507</v>
      </c>
      <c r="C839" s="29" t="s">
        <v>96</v>
      </c>
      <c r="D839" s="2" t="s">
        <v>7</v>
      </c>
      <c r="E839" s="3">
        <v>1</v>
      </c>
    </row>
    <row r="840" spans="1:5">
      <c r="A840" s="29" t="s">
        <v>5094</v>
      </c>
      <c r="B840" s="29">
        <v>20110508</v>
      </c>
      <c r="C840" s="29" t="s">
        <v>96</v>
      </c>
      <c r="D840" s="2" t="s">
        <v>7</v>
      </c>
      <c r="E840" s="3">
        <v>1</v>
      </c>
    </row>
    <row r="841" spans="1:5">
      <c r="A841" s="29" t="s">
        <v>5094</v>
      </c>
      <c r="B841" s="29">
        <v>20110509</v>
      </c>
      <c r="C841" s="29" t="s">
        <v>96</v>
      </c>
      <c r="D841" s="2" t="s">
        <v>7</v>
      </c>
      <c r="E841" s="3">
        <v>1</v>
      </c>
    </row>
    <row r="842" spans="1:5">
      <c r="A842" s="29" t="s">
        <v>5094</v>
      </c>
      <c r="B842" s="29">
        <v>20110510</v>
      </c>
      <c r="C842" s="29" t="s">
        <v>96</v>
      </c>
      <c r="D842" s="2" t="s">
        <v>7</v>
      </c>
      <c r="E842" s="3">
        <v>1</v>
      </c>
    </row>
    <row r="843" spans="1:5">
      <c r="A843" s="29" t="s">
        <v>5094</v>
      </c>
      <c r="B843" s="29">
        <v>20110511</v>
      </c>
      <c r="C843" s="29" t="s">
        <v>96</v>
      </c>
      <c r="D843" s="2" t="s">
        <v>7</v>
      </c>
      <c r="E843" s="3">
        <v>1</v>
      </c>
    </row>
    <row r="844" spans="1:5">
      <c r="A844" s="29" t="s">
        <v>5094</v>
      </c>
      <c r="B844" s="29">
        <v>20110512</v>
      </c>
      <c r="C844" s="29" t="s">
        <v>96</v>
      </c>
      <c r="D844" s="2" t="s">
        <v>7</v>
      </c>
      <c r="E844" s="3">
        <v>1</v>
      </c>
    </row>
    <row r="845" spans="1:5">
      <c r="A845" s="29" t="s">
        <v>5094</v>
      </c>
      <c r="B845" s="29">
        <v>20110513</v>
      </c>
      <c r="C845" s="29" t="s">
        <v>96</v>
      </c>
      <c r="D845" s="2" t="s">
        <v>7</v>
      </c>
      <c r="E845" s="3">
        <v>1</v>
      </c>
    </row>
    <row r="846" spans="1:5">
      <c r="A846" s="29" t="s">
        <v>5094</v>
      </c>
      <c r="B846" s="29">
        <v>20110514</v>
      </c>
      <c r="C846" s="29" t="s">
        <v>96</v>
      </c>
      <c r="D846" s="2" t="s">
        <v>7</v>
      </c>
      <c r="E846" s="3">
        <v>1</v>
      </c>
    </row>
    <row r="847" spans="1:5">
      <c r="A847" s="29" t="s">
        <v>5094</v>
      </c>
      <c r="B847" s="29">
        <v>20110515</v>
      </c>
      <c r="C847" s="29" t="s">
        <v>96</v>
      </c>
      <c r="D847" s="2" t="s">
        <v>7</v>
      </c>
      <c r="E847" s="3">
        <v>1</v>
      </c>
    </row>
    <row r="848" spans="1:5">
      <c r="A848" s="29" t="s">
        <v>5094</v>
      </c>
      <c r="B848" s="29">
        <v>20110516</v>
      </c>
      <c r="C848" s="29" t="s">
        <v>96</v>
      </c>
      <c r="D848" s="2" t="s">
        <v>7</v>
      </c>
      <c r="E848" s="3">
        <v>1</v>
      </c>
    </row>
    <row r="849" spans="1:5">
      <c r="A849" s="29" t="s">
        <v>5094</v>
      </c>
      <c r="B849" s="29">
        <v>20110517</v>
      </c>
      <c r="C849" s="29" t="s">
        <v>96</v>
      </c>
      <c r="D849" s="2" t="s">
        <v>7</v>
      </c>
      <c r="E849" s="3">
        <v>1</v>
      </c>
    </row>
    <row r="850" spans="1:5">
      <c r="A850" s="29" t="s">
        <v>5094</v>
      </c>
      <c r="B850" s="29">
        <v>20110518</v>
      </c>
      <c r="C850" s="29" t="s">
        <v>96</v>
      </c>
      <c r="D850" s="2" t="s">
        <v>7</v>
      </c>
      <c r="E850" s="3">
        <v>1</v>
      </c>
    </row>
    <row r="851" spans="1:5">
      <c r="A851" s="29" t="s">
        <v>5094</v>
      </c>
      <c r="B851" s="29">
        <v>20110519</v>
      </c>
      <c r="C851" s="29" t="s">
        <v>96</v>
      </c>
      <c r="D851" s="2" t="s">
        <v>7</v>
      </c>
      <c r="E851" s="3">
        <v>1</v>
      </c>
    </row>
    <row r="852" spans="1:5">
      <c r="A852" s="29" t="s">
        <v>5094</v>
      </c>
      <c r="B852" s="29">
        <v>20110520</v>
      </c>
      <c r="C852" s="29" t="s">
        <v>96</v>
      </c>
      <c r="D852" s="2" t="s">
        <v>7</v>
      </c>
      <c r="E852" s="3">
        <v>1</v>
      </c>
    </row>
    <row r="853" spans="1:5">
      <c r="A853" s="29" t="s">
        <v>5094</v>
      </c>
      <c r="B853" s="29">
        <v>20110521</v>
      </c>
      <c r="C853" s="29" t="s">
        <v>96</v>
      </c>
      <c r="D853" s="2" t="s">
        <v>7</v>
      </c>
      <c r="E853" s="3">
        <v>1</v>
      </c>
    </row>
    <row r="854" spans="1:5">
      <c r="A854" s="29" t="s">
        <v>5094</v>
      </c>
      <c r="B854" s="29">
        <v>20110522</v>
      </c>
      <c r="C854" s="29" t="s">
        <v>96</v>
      </c>
      <c r="D854" s="2" t="s">
        <v>7</v>
      </c>
      <c r="E854" s="3">
        <v>1</v>
      </c>
    </row>
    <row r="855" spans="1:5">
      <c r="A855" s="29" t="s">
        <v>5094</v>
      </c>
      <c r="B855" s="29">
        <v>20110523</v>
      </c>
      <c r="C855" s="29" t="s">
        <v>96</v>
      </c>
      <c r="D855" s="2" t="s">
        <v>7</v>
      </c>
      <c r="E855" s="3">
        <v>1</v>
      </c>
    </row>
    <row r="856" spans="1:5">
      <c r="A856" s="29" t="s">
        <v>5094</v>
      </c>
      <c r="B856" s="29">
        <v>20110524</v>
      </c>
      <c r="C856" s="29" t="s">
        <v>96</v>
      </c>
      <c r="D856" s="2" t="s">
        <v>7</v>
      </c>
      <c r="E856" s="3">
        <v>1</v>
      </c>
    </row>
    <row r="857" spans="1:5">
      <c r="A857" s="29" t="s">
        <v>5094</v>
      </c>
      <c r="B857" s="29">
        <v>20110525</v>
      </c>
      <c r="C857" s="29" t="s">
        <v>96</v>
      </c>
      <c r="D857" s="2" t="s">
        <v>7</v>
      </c>
      <c r="E857" s="3">
        <v>1</v>
      </c>
    </row>
    <row r="858" spans="1:5">
      <c r="A858" s="29" t="s">
        <v>5094</v>
      </c>
      <c r="B858" s="29">
        <v>20110526</v>
      </c>
      <c r="C858" s="29" t="s">
        <v>96</v>
      </c>
      <c r="D858" s="2" t="s">
        <v>7</v>
      </c>
      <c r="E858" s="3">
        <v>1</v>
      </c>
    </row>
    <row r="859" spans="1:5">
      <c r="A859" s="29" t="s">
        <v>5094</v>
      </c>
      <c r="B859" s="29">
        <v>20110527</v>
      </c>
      <c r="C859" s="29" t="s">
        <v>96</v>
      </c>
      <c r="D859" s="2" t="s">
        <v>7</v>
      </c>
      <c r="E859" s="3">
        <v>1</v>
      </c>
    </row>
    <row r="860" spans="1:5">
      <c r="A860" s="29" t="s">
        <v>5094</v>
      </c>
      <c r="B860" s="29">
        <v>20110528</v>
      </c>
      <c r="C860" s="29" t="s">
        <v>96</v>
      </c>
      <c r="D860" s="2" t="s">
        <v>7</v>
      </c>
      <c r="E860" s="3">
        <v>1</v>
      </c>
    </row>
    <row r="861" spans="1:5">
      <c r="A861" s="29" t="s">
        <v>5094</v>
      </c>
      <c r="B861" s="29">
        <v>20110529</v>
      </c>
      <c r="C861" s="29" t="s">
        <v>96</v>
      </c>
      <c r="D861" s="2" t="s">
        <v>7</v>
      </c>
      <c r="E861" s="3">
        <v>1</v>
      </c>
    </row>
    <row r="862" spans="1:5">
      <c r="A862" s="29" t="s">
        <v>5094</v>
      </c>
      <c r="B862" s="29">
        <v>20110530</v>
      </c>
      <c r="C862" s="29" t="s">
        <v>96</v>
      </c>
      <c r="D862" s="2" t="s">
        <v>7</v>
      </c>
      <c r="E862" s="3">
        <v>1</v>
      </c>
    </row>
    <row r="863" spans="1:5">
      <c r="A863" s="29" t="s">
        <v>5094</v>
      </c>
      <c r="B863" s="29">
        <v>20110531</v>
      </c>
      <c r="C863" s="29" t="s">
        <v>96</v>
      </c>
      <c r="D863" s="2" t="s">
        <v>7</v>
      </c>
      <c r="E863" s="3">
        <v>1</v>
      </c>
    </row>
    <row r="864" spans="1:5">
      <c r="A864" s="29" t="s">
        <v>5094</v>
      </c>
      <c r="B864" s="29">
        <v>20110532</v>
      </c>
      <c r="C864" s="29" t="s">
        <v>96</v>
      </c>
      <c r="D864" s="2" t="s">
        <v>7</v>
      </c>
      <c r="E864" s="3">
        <v>1</v>
      </c>
    </row>
    <row r="865" spans="1:5">
      <c r="A865" s="29" t="s">
        <v>5094</v>
      </c>
      <c r="B865" s="29">
        <v>20110533</v>
      </c>
      <c r="C865" s="29" t="s">
        <v>96</v>
      </c>
      <c r="D865" s="2" t="s">
        <v>7</v>
      </c>
      <c r="E865" s="3">
        <v>1</v>
      </c>
    </row>
    <row r="866" spans="1:5">
      <c r="A866" s="29" t="s">
        <v>5094</v>
      </c>
      <c r="B866" s="29">
        <v>20110534</v>
      </c>
      <c r="C866" s="29" t="s">
        <v>96</v>
      </c>
      <c r="D866" s="2" t="s">
        <v>7</v>
      </c>
      <c r="E866" s="3">
        <v>1</v>
      </c>
    </row>
    <row r="867" spans="1:5">
      <c r="A867" s="29" t="s">
        <v>5094</v>
      </c>
      <c r="B867" s="29">
        <v>20110535</v>
      </c>
      <c r="C867" s="29" t="s">
        <v>96</v>
      </c>
      <c r="D867" s="2" t="s">
        <v>7</v>
      </c>
      <c r="E867" s="3">
        <v>1</v>
      </c>
    </row>
    <row r="868" spans="1:5">
      <c r="A868" s="29" t="s">
        <v>5094</v>
      </c>
      <c r="B868" s="29">
        <v>20110536</v>
      </c>
      <c r="C868" s="29" t="s">
        <v>96</v>
      </c>
      <c r="D868" s="2" t="s">
        <v>7</v>
      </c>
      <c r="E868" s="3">
        <v>1</v>
      </c>
    </row>
    <row r="869" spans="1:5">
      <c r="A869" s="29" t="s">
        <v>5094</v>
      </c>
      <c r="B869" s="29">
        <v>20110537</v>
      </c>
      <c r="C869" s="29" t="s">
        <v>96</v>
      </c>
      <c r="D869" s="2" t="s">
        <v>7</v>
      </c>
      <c r="E869" s="3">
        <v>1</v>
      </c>
    </row>
    <row r="870" spans="1:5">
      <c r="A870" s="29" t="s">
        <v>5094</v>
      </c>
      <c r="B870" s="29">
        <v>20110538</v>
      </c>
      <c r="C870" s="29" t="s">
        <v>96</v>
      </c>
      <c r="D870" s="2" t="s">
        <v>7</v>
      </c>
      <c r="E870" s="3">
        <v>1</v>
      </c>
    </row>
    <row r="871" spans="1:5">
      <c r="A871" s="29" t="s">
        <v>5094</v>
      </c>
      <c r="B871" s="29">
        <v>20110539</v>
      </c>
      <c r="C871" s="29" t="s">
        <v>96</v>
      </c>
      <c r="D871" s="2" t="s">
        <v>7</v>
      </c>
      <c r="E871" s="3">
        <v>1</v>
      </c>
    </row>
    <row r="872" spans="1:5">
      <c r="A872" s="29" t="s">
        <v>5094</v>
      </c>
      <c r="B872" s="29">
        <v>20110540</v>
      </c>
      <c r="C872" s="29" t="s">
        <v>96</v>
      </c>
      <c r="D872" s="2" t="s">
        <v>7</v>
      </c>
      <c r="E872" s="3">
        <v>1</v>
      </c>
    </row>
    <row r="873" spans="1:5">
      <c r="A873" s="29" t="s">
        <v>5094</v>
      </c>
      <c r="B873" s="29">
        <v>20110541</v>
      </c>
      <c r="C873" s="29" t="s">
        <v>96</v>
      </c>
      <c r="D873" s="2" t="s">
        <v>7</v>
      </c>
      <c r="E873" s="3">
        <v>1</v>
      </c>
    </row>
    <row r="874" spans="1:5">
      <c r="A874" s="29" t="s">
        <v>5094</v>
      </c>
      <c r="B874" s="29">
        <v>20110542</v>
      </c>
      <c r="C874" s="29" t="s">
        <v>96</v>
      </c>
      <c r="D874" s="2" t="s">
        <v>7</v>
      </c>
      <c r="E874" s="3">
        <v>1</v>
      </c>
    </row>
    <row r="875" spans="1:5">
      <c r="A875" s="29" t="s">
        <v>5094</v>
      </c>
      <c r="B875" s="29">
        <v>20110543</v>
      </c>
      <c r="C875" s="29" t="s">
        <v>96</v>
      </c>
      <c r="D875" s="2" t="s">
        <v>7</v>
      </c>
      <c r="E875" s="3">
        <v>1</v>
      </c>
    </row>
    <row r="876" spans="1:5">
      <c r="A876" s="29" t="s">
        <v>5094</v>
      </c>
      <c r="B876" s="29">
        <v>20110544</v>
      </c>
      <c r="C876" s="29" t="s">
        <v>96</v>
      </c>
      <c r="D876" s="2" t="s">
        <v>7</v>
      </c>
      <c r="E876" s="3">
        <v>1</v>
      </c>
    </row>
    <row r="877" spans="1:5">
      <c r="A877" s="29" t="s">
        <v>5094</v>
      </c>
      <c r="B877" s="29">
        <v>20110545</v>
      </c>
      <c r="C877" s="29" t="s">
        <v>96</v>
      </c>
      <c r="D877" s="2" t="s">
        <v>7</v>
      </c>
      <c r="E877" s="3">
        <v>1</v>
      </c>
    </row>
    <row r="878" spans="1:5">
      <c r="A878" s="29" t="s">
        <v>5094</v>
      </c>
      <c r="B878" s="29">
        <v>20110546</v>
      </c>
      <c r="C878" s="29" t="s">
        <v>96</v>
      </c>
      <c r="D878" s="2" t="s">
        <v>7</v>
      </c>
      <c r="E878" s="3">
        <v>1</v>
      </c>
    </row>
    <row r="879" spans="1:5">
      <c r="A879" s="29" t="s">
        <v>5094</v>
      </c>
      <c r="B879" s="29">
        <v>20110547</v>
      </c>
      <c r="C879" s="29" t="s">
        <v>96</v>
      </c>
      <c r="D879" s="2" t="s">
        <v>7</v>
      </c>
      <c r="E879" s="3">
        <v>1</v>
      </c>
    </row>
    <row r="880" spans="1:5">
      <c r="A880" s="29" t="s">
        <v>5094</v>
      </c>
      <c r="B880" s="29">
        <v>20110548</v>
      </c>
      <c r="C880" s="29" t="s">
        <v>96</v>
      </c>
      <c r="D880" s="2" t="s">
        <v>7</v>
      </c>
      <c r="E880" s="3">
        <v>1</v>
      </c>
    </row>
    <row r="881" spans="1:5">
      <c r="A881" s="29" t="s">
        <v>5094</v>
      </c>
      <c r="B881" s="29">
        <v>20110549</v>
      </c>
      <c r="C881" s="29" t="s">
        <v>96</v>
      </c>
      <c r="D881" s="2" t="s">
        <v>7</v>
      </c>
      <c r="E881" s="3">
        <v>1</v>
      </c>
    </row>
    <row r="882" spans="1:5">
      <c r="A882" s="29" t="s">
        <v>5094</v>
      </c>
      <c r="B882" s="29">
        <v>20110550</v>
      </c>
      <c r="C882" s="29" t="s">
        <v>96</v>
      </c>
      <c r="D882" s="2" t="s">
        <v>7</v>
      </c>
      <c r="E882" s="3">
        <v>1</v>
      </c>
    </row>
    <row r="883" spans="1:5">
      <c r="A883" s="29" t="s">
        <v>5094</v>
      </c>
      <c r="B883" s="29">
        <v>20110551</v>
      </c>
      <c r="C883" s="29" t="s">
        <v>96</v>
      </c>
      <c r="D883" s="2" t="s">
        <v>7</v>
      </c>
      <c r="E883" s="3">
        <v>1</v>
      </c>
    </row>
    <row r="884" spans="1:5">
      <c r="A884" s="29" t="s">
        <v>5094</v>
      </c>
      <c r="B884" s="29">
        <v>20110552</v>
      </c>
      <c r="C884" s="29" t="s">
        <v>96</v>
      </c>
      <c r="D884" s="2" t="s">
        <v>7</v>
      </c>
      <c r="E884" s="3">
        <v>1</v>
      </c>
    </row>
    <row r="885" spans="1:5">
      <c r="A885" s="29" t="s">
        <v>5094</v>
      </c>
      <c r="B885" s="29">
        <v>20110553</v>
      </c>
      <c r="C885" s="29" t="s">
        <v>96</v>
      </c>
      <c r="D885" s="2" t="s">
        <v>7</v>
      </c>
      <c r="E885" s="3">
        <v>1</v>
      </c>
    </row>
    <row r="886" spans="1:5">
      <c r="A886" s="29" t="s">
        <v>5094</v>
      </c>
      <c r="B886" s="29">
        <v>20110554</v>
      </c>
      <c r="C886" s="29" t="s">
        <v>96</v>
      </c>
      <c r="D886" s="2" t="s">
        <v>7</v>
      </c>
      <c r="E886" s="3">
        <v>1</v>
      </c>
    </row>
    <row r="887" spans="1:5">
      <c r="A887" s="29" t="s">
        <v>5094</v>
      </c>
      <c r="B887" s="29">
        <v>20211172</v>
      </c>
      <c r="C887" s="29" t="s">
        <v>96</v>
      </c>
      <c r="D887" s="2" t="s">
        <v>7</v>
      </c>
      <c r="E887" s="3">
        <v>1</v>
      </c>
    </row>
    <row r="888" spans="1:5">
      <c r="A888" s="29" t="s">
        <v>5094</v>
      </c>
      <c r="B888" s="29">
        <v>20211173</v>
      </c>
      <c r="C888" s="29" t="s">
        <v>96</v>
      </c>
      <c r="D888" s="2" t="s">
        <v>7</v>
      </c>
      <c r="E888" s="3">
        <v>1</v>
      </c>
    </row>
    <row r="889" spans="1:5">
      <c r="A889" s="29" t="s">
        <v>5094</v>
      </c>
      <c r="B889" s="29">
        <v>20211174</v>
      </c>
      <c r="C889" s="29" t="s">
        <v>96</v>
      </c>
      <c r="D889" s="2" t="s">
        <v>7</v>
      </c>
      <c r="E889" s="3">
        <v>1</v>
      </c>
    </row>
    <row r="890" spans="1:5">
      <c r="A890" s="29" t="s">
        <v>5094</v>
      </c>
      <c r="B890" s="29">
        <v>20211175</v>
      </c>
      <c r="C890" s="29" t="s">
        <v>96</v>
      </c>
      <c r="D890" s="2" t="s">
        <v>7</v>
      </c>
      <c r="E890" s="3">
        <v>1</v>
      </c>
    </row>
    <row r="891" spans="1:5">
      <c r="A891" s="29" t="s">
        <v>5094</v>
      </c>
      <c r="B891" s="29">
        <v>20211176</v>
      </c>
      <c r="C891" s="29" t="s">
        <v>96</v>
      </c>
      <c r="D891" s="2" t="s">
        <v>7</v>
      </c>
      <c r="E891" s="3">
        <v>1</v>
      </c>
    </row>
    <row r="892" spans="1:5">
      <c r="A892" s="29" t="s">
        <v>5094</v>
      </c>
      <c r="B892" s="29">
        <v>20211177</v>
      </c>
      <c r="C892" s="29" t="s">
        <v>96</v>
      </c>
      <c r="D892" s="2" t="s">
        <v>7</v>
      </c>
      <c r="E892" s="3">
        <v>1</v>
      </c>
    </row>
    <row r="893" spans="1:5">
      <c r="A893" s="29" t="s">
        <v>5094</v>
      </c>
      <c r="B893" s="29">
        <v>20211178</v>
      </c>
      <c r="C893" s="29" t="s">
        <v>96</v>
      </c>
      <c r="D893" s="2" t="s">
        <v>7</v>
      </c>
      <c r="E893" s="3">
        <v>1</v>
      </c>
    </row>
    <row r="894" spans="1:5">
      <c r="A894" s="29" t="s">
        <v>5094</v>
      </c>
      <c r="B894" s="29">
        <v>20211179</v>
      </c>
      <c r="C894" s="29" t="s">
        <v>96</v>
      </c>
      <c r="D894" s="2" t="s">
        <v>7</v>
      </c>
      <c r="E894" s="3">
        <v>1</v>
      </c>
    </row>
    <row r="895" spans="1:5">
      <c r="A895" s="29" t="s">
        <v>5094</v>
      </c>
      <c r="B895" s="29">
        <v>20211180</v>
      </c>
      <c r="C895" s="29" t="s">
        <v>96</v>
      </c>
      <c r="D895" s="2" t="s">
        <v>7</v>
      </c>
      <c r="E895" s="3">
        <v>1</v>
      </c>
    </row>
    <row r="896" spans="1:5">
      <c r="A896" s="29" t="s">
        <v>5094</v>
      </c>
      <c r="B896" s="29">
        <v>20211181</v>
      </c>
      <c r="C896" s="29" t="s">
        <v>96</v>
      </c>
      <c r="D896" s="2" t="s">
        <v>7</v>
      </c>
      <c r="E896" s="3">
        <v>1</v>
      </c>
    </row>
    <row r="897" spans="1:5">
      <c r="A897" s="29" t="s">
        <v>5094</v>
      </c>
      <c r="B897" s="29">
        <v>20211182</v>
      </c>
      <c r="C897" s="29" t="s">
        <v>96</v>
      </c>
      <c r="D897" s="2" t="s">
        <v>7</v>
      </c>
      <c r="E897" s="3">
        <v>1</v>
      </c>
    </row>
    <row r="898" spans="1:5">
      <c r="A898" s="29" t="s">
        <v>5094</v>
      </c>
      <c r="B898" s="29">
        <v>20211183</v>
      </c>
      <c r="C898" s="29" t="s">
        <v>96</v>
      </c>
      <c r="D898" s="2" t="s">
        <v>7</v>
      </c>
      <c r="E898" s="3">
        <v>1</v>
      </c>
    </row>
    <row r="899" spans="1:5">
      <c r="A899" s="29" t="s">
        <v>5094</v>
      </c>
      <c r="B899" s="29">
        <v>20211184</v>
      </c>
      <c r="C899" s="29" t="s">
        <v>96</v>
      </c>
      <c r="D899" s="2" t="s">
        <v>7</v>
      </c>
      <c r="E899" s="3">
        <v>1</v>
      </c>
    </row>
    <row r="900" spans="1:5">
      <c r="A900" s="29" t="s">
        <v>5094</v>
      </c>
      <c r="B900" s="29">
        <v>20211185</v>
      </c>
      <c r="C900" s="29" t="s">
        <v>96</v>
      </c>
      <c r="D900" s="2" t="s">
        <v>7</v>
      </c>
      <c r="E900" s="3">
        <v>1</v>
      </c>
    </row>
    <row r="901" spans="1:5">
      <c r="A901" s="29" t="s">
        <v>5094</v>
      </c>
      <c r="B901" s="29">
        <v>20211186</v>
      </c>
      <c r="C901" s="29" t="s">
        <v>96</v>
      </c>
      <c r="D901" s="2" t="s">
        <v>7</v>
      </c>
      <c r="E901" s="3">
        <v>1</v>
      </c>
    </row>
    <row r="902" spans="1:5">
      <c r="A902" s="29" t="s">
        <v>5094</v>
      </c>
      <c r="B902" s="29">
        <v>20211187</v>
      </c>
      <c r="C902" s="29" t="s">
        <v>96</v>
      </c>
      <c r="D902" s="2" t="s">
        <v>7</v>
      </c>
      <c r="E902" s="3">
        <v>1</v>
      </c>
    </row>
    <row r="903" spans="1:5">
      <c r="A903" s="29" t="s">
        <v>5094</v>
      </c>
      <c r="B903" s="29">
        <v>20211188</v>
      </c>
      <c r="C903" s="29" t="s">
        <v>96</v>
      </c>
      <c r="D903" s="2" t="s">
        <v>7</v>
      </c>
      <c r="E903" s="3">
        <v>1</v>
      </c>
    </row>
    <row r="904" spans="1:5">
      <c r="A904" s="29" t="s">
        <v>5094</v>
      </c>
      <c r="B904" s="29">
        <v>20211189</v>
      </c>
      <c r="C904" s="29" t="s">
        <v>96</v>
      </c>
      <c r="D904" s="2" t="s">
        <v>7</v>
      </c>
      <c r="E904" s="3">
        <v>1</v>
      </c>
    </row>
    <row r="905" spans="1:5">
      <c r="A905" s="29" t="s">
        <v>5094</v>
      </c>
      <c r="B905" s="29">
        <v>20211190</v>
      </c>
      <c r="C905" s="29" t="s">
        <v>96</v>
      </c>
      <c r="D905" s="2" t="s">
        <v>7</v>
      </c>
      <c r="E905" s="3">
        <v>1</v>
      </c>
    </row>
    <row r="906" spans="1:5">
      <c r="A906" s="29" t="s">
        <v>5094</v>
      </c>
      <c r="B906" s="29">
        <v>20211191</v>
      </c>
      <c r="C906" s="29" t="s">
        <v>96</v>
      </c>
      <c r="D906" s="2" t="s">
        <v>7</v>
      </c>
      <c r="E906" s="3">
        <v>1</v>
      </c>
    </row>
    <row r="907" spans="1:5">
      <c r="A907" s="29" t="s">
        <v>5094</v>
      </c>
      <c r="B907" s="29">
        <v>20211192</v>
      </c>
      <c r="C907" s="29" t="s">
        <v>96</v>
      </c>
      <c r="D907" s="2" t="s">
        <v>7</v>
      </c>
      <c r="E907" s="3">
        <v>1</v>
      </c>
    </row>
    <row r="908" spans="1:5">
      <c r="A908" s="29" t="s">
        <v>5094</v>
      </c>
      <c r="B908" s="29">
        <v>20211193</v>
      </c>
      <c r="C908" s="29" t="s">
        <v>96</v>
      </c>
      <c r="D908" s="2" t="s">
        <v>7</v>
      </c>
      <c r="E908" s="3">
        <v>1</v>
      </c>
    </row>
    <row r="909" spans="1:5">
      <c r="A909" s="29" t="s">
        <v>5094</v>
      </c>
      <c r="B909" s="29">
        <v>20211194</v>
      </c>
      <c r="C909" s="29" t="s">
        <v>96</v>
      </c>
      <c r="D909" s="2" t="s">
        <v>7</v>
      </c>
      <c r="E909" s="3">
        <v>1</v>
      </c>
    </row>
    <row r="910" spans="1:5">
      <c r="A910" s="29" t="s">
        <v>5094</v>
      </c>
      <c r="B910" s="29">
        <v>20211195</v>
      </c>
      <c r="C910" s="29" t="s">
        <v>96</v>
      </c>
      <c r="D910" s="2" t="s">
        <v>7</v>
      </c>
      <c r="E910" s="3">
        <v>1</v>
      </c>
    </row>
    <row r="911" spans="1:5">
      <c r="A911" s="29" t="s">
        <v>5094</v>
      </c>
      <c r="B911" s="29">
        <v>20211196</v>
      </c>
      <c r="C911" s="29" t="s">
        <v>96</v>
      </c>
      <c r="D911" s="2" t="s">
        <v>7</v>
      </c>
      <c r="E911" s="3">
        <v>1</v>
      </c>
    </row>
    <row r="912" spans="1:5">
      <c r="A912" s="29" t="s">
        <v>5094</v>
      </c>
      <c r="B912" s="29">
        <v>20211197</v>
      </c>
      <c r="C912" s="29" t="s">
        <v>96</v>
      </c>
      <c r="D912" s="2" t="s">
        <v>7</v>
      </c>
      <c r="E912" s="3">
        <v>1</v>
      </c>
    </row>
    <row r="913" spans="1:5">
      <c r="A913" s="29" t="s">
        <v>5094</v>
      </c>
      <c r="B913" s="29">
        <v>20211198</v>
      </c>
      <c r="C913" s="29" t="s">
        <v>96</v>
      </c>
      <c r="D913" s="2" t="s">
        <v>7</v>
      </c>
      <c r="E913" s="3">
        <v>1</v>
      </c>
    </row>
    <row r="914" spans="1:5">
      <c r="A914" s="29" t="s">
        <v>5094</v>
      </c>
      <c r="B914" s="29">
        <v>20211199</v>
      </c>
      <c r="C914" s="29" t="s">
        <v>96</v>
      </c>
      <c r="D914" s="2" t="s">
        <v>7</v>
      </c>
      <c r="E914" s="3">
        <v>1</v>
      </c>
    </row>
    <row r="915" spans="1:5">
      <c r="A915" s="29" t="s">
        <v>5094</v>
      </c>
      <c r="B915" s="29">
        <v>20211200</v>
      </c>
      <c r="C915" s="29" t="s">
        <v>96</v>
      </c>
      <c r="D915" s="2" t="s">
        <v>7</v>
      </c>
      <c r="E915" s="3">
        <v>1</v>
      </c>
    </row>
    <row r="916" spans="1:5">
      <c r="A916" s="29" t="s">
        <v>5094</v>
      </c>
      <c r="B916" s="29">
        <v>20211201</v>
      </c>
      <c r="C916" s="29" t="s">
        <v>96</v>
      </c>
      <c r="D916" s="2" t="s">
        <v>7</v>
      </c>
      <c r="E916" s="3">
        <v>1</v>
      </c>
    </row>
    <row r="917" spans="1:5">
      <c r="A917" s="29" t="s">
        <v>5094</v>
      </c>
      <c r="B917" s="29">
        <v>20220075</v>
      </c>
      <c r="C917" s="29" t="s">
        <v>96</v>
      </c>
      <c r="D917" s="2" t="s">
        <v>7</v>
      </c>
      <c r="E917" s="3">
        <v>1</v>
      </c>
    </row>
    <row r="918" spans="1:5">
      <c r="A918" s="29" t="s">
        <v>5094</v>
      </c>
      <c r="B918" s="29">
        <v>20220076</v>
      </c>
      <c r="C918" s="29" t="s">
        <v>96</v>
      </c>
      <c r="D918" s="2" t="s">
        <v>7</v>
      </c>
      <c r="E918" s="3">
        <v>1</v>
      </c>
    </row>
    <row r="919" spans="1:5">
      <c r="A919" s="29" t="s">
        <v>5094</v>
      </c>
      <c r="B919" s="29">
        <v>20220077</v>
      </c>
      <c r="C919" s="29" t="s">
        <v>96</v>
      </c>
      <c r="D919" s="2" t="s">
        <v>7</v>
      </c>
      <c r="E919" s="3">
        <v>1</v>
      </c>
    </row>
    <row r="920" spans="1:5">
      <c r="A920" s="29" t="s">
        <v>5094</v>
      </c>
      <c r="B920" s="29">
        <v>20220078</v>
      </c>
      <c r="C920" s="29" t="s">
        <v>96</v>
      </c>
      <c r="D920" s="2" t="s">
        <v>7</v>
      </c>
      <c r="E920" s="3">
        <v>1</v>
      </c>
    </row>
    <row r="921" spans="1:5">
      <c r="A921" s="29" t="s">
        <v>5094</v>
      </c>
      <c r="B921" s="29">
        <v>20220079</v>
      </c>
      <c r="C921" s="29" t="s">
        <v>96</v>
      </c>
      <c r="D921" s="2" t="s">
        <v>7</v>
      </c>
      <c r="E921" s="3">
        <v>1</v>
      </c>
    </row>
    <row r="922" spans="1:5">
      <c r="A922" s="29" t="s">
        <v>5094</v>
      </c>
      <c r="B922" s="29">
        <v>20220080</v>
      </c>
      <c r="C922" s="29" t="s">
        <v>96</v>
      </c>
      <c r="D922" s="2" t="s">
        <v>7</v>
      </c>
      <c r="E922" s="3">
        <v>1</v>
      </c>
    </row>
    <row r="923" spans="1:5">
      <c r="A923" s="29" t="s">
        <v>5094</v>
      </c>
      <c r="B923" s="29">
        <v>20220081</v>
      </c>
      <c r="C923" s="29" t="s">
        <v>96</v>
      </c>
      <c r="D923" s="2" t="s">
        <v>7</v>
      </c>
      <c r="E923" s="3">
        <v>1</v>
      </c>
    </row>
    <row r="924" spans="1:5">
      <c r="A924" s="29" t="s">
        <v>5094</v>
      </c>
      <c r="B924" s="29">
        <v>20220082</v>
      </c>
      <c r="C924" s="29" t="s">
        <v>96</v>
      </c>
      <c r="D924" s="2" t="s">
        <v>7</v>
      </c>
      <c r="E924" s="3">
        <v>1</v>
      </c>
    </row>
    <row r="925" spans="1:5">
      <c r="A925" s="29" t="s">
        <v>5094</v>
      </c>
      <c r="B925" s="29">
        <v>20220083</v>
      </c>
      <c r="C925" s="29" t="s">
        <v>96</v>
      </c>
      <c r="D925" s="2" t="s">
        <v>7</v>
      </c>
      <c r="E925" s="3">
        <v>1</v>
      </c>
    </row>
    <row r="926" spans="1:5">
      <c r="A926" s="29" t="s">
        <v>5094</v>
      </c>
      <c r="B926" s="29">
        <v>20220084</v>
      </c>
      <c r="C926" s="29" t="s">
        <v>96</v>
      </c>
      <c r="D926" s="2" t="s">
        <v>7</v>
      </c>
      <c r="E926" s="3">
        <v>1</v>
      </c>
    </row>
    <row r="927" spans="1:5">
      <c r="A927" s="29" t="s">
        <v>5094</v>
      </c>
      <c r="B927" s="29">
        <v>20220085</v>
      </c>
      <c r="C927" s="29" t="s">
        <v>96</v>
      </c>
      <c r="D927" s="2" t="s">
        <v>7</v>
      </c>
      <c r="E927" s="3">
        <v>1</v>
      </c>
    </row>
    <row r="928" spans="1:5">
      <c r="A928" s="29" t="s">
        <v>5094</v>
      </c>
      <c r="B928" s="29">
        <v>20220086</v>
      </c>
      <c r="C928" s="29" t="s">
        <v>96</v>
      </c>
      <c r="D928" s="2" t="s">
        <v>7</v>
      </c>
      <c r="E928" s="3">
        <v>1</v>
      </c>
    </row>
    <row r="929" spans="1:5">
      <c r="A929" s="29" t="s">
        <v>5094</v>
      </c>
      <c r="B929" s="29">
        <v>20220087</v>
      </c>
      <c r="C929" s="29" t="s">
        <v>96</v>
      </c>
      <c r="D929" s="2" t="s">
        <v>7</v>
      </c>
      <c r="E929" s="3">
        <v>1</v>
      </c>
    </row>
    <row r="930" spans="1:5">
      <c r="A930" s="29" t="s">
        <v>5094</v>
      </c>
      <c r="B930" s="29">
        <v>20220088</v>
      </c>
      <c r="C930" s="29" t="s">
        <v>96</v>
      </c>
      <c r="D930" s="2" t="s">
        <v>7</v>
      </c>
      <c r="E930" s="3">
        <v>1</v>
      </c>
    </row>
    <row r="931" spans="1:5">
      <c r="A931" s="29" t="s">
        <v>5094</v>
      </c>
      <c r="B931" s="29">
        <v>20220089</v>
      </c>
      <c r="C931" s="29" t="s">
        <v>96</v>
      </c>
      <c r="D931" s="2" t="s">
        <v>7</v>
      </c>
      <c r="E931" s="3">
        <v>1</v>
      </c>
    </row>
    <row r="932" spans="1:5">
      <c r="A932" s="29" t="s">
        <v>5094</v>
      </c>
      <c r="B932" s="29">
        <v>20220090</v>
      </c>
      <c r="C932" s="29" t="s">
        <v>96</v>
      </c>
      <c r="D932" s="2" t="s">
        <v>7</v>
      </c>
      <c r="E932" s="3">
        <v>1</v>
      </c>
    </row>
    <row r="933" spans="1:5">
      <c r="A933" s="29" t="s">
        <v>5094</v>
      </c>
      <c r="B933" s="29">
        <v>20220091</v>
      </c>
      <c r="C933" s="29" t="s">
        <v>96</v>
      </c>
      <c r="D933" s="2" t="s">
        <v>7</v>
      </c>
      <c r="E933" s="3">
        <v>1</v>
      </c>
    </row>
    <row r="934" spans="1:5">
      <c r="A934" s="29" t="s">
        <v>5094</v>
      </c>
      <c r="B934" s="29">
        <v>20220092</v>
      </c>
      <c r="C934" s="29" t="s">
        <v>96</v>
      </c>
      <c r="D934" s="2" t="s">
        <v>7</v>
      </c>
      <c r="E934" s="3">
        <v>1</v>
      </c>
    </row>
    <row r="935" spans="1:5">
      <c r="A935" s="29" t="s">
        <v>5094</v>
      </c>
      <c r="B935" s="29">
        <v>20220093</v>
      </c>
      <c r="C935" s="29" t="s">
        <v>96</v>
      </c>
      <c r="D935" s="2" t="s">
        <v>7</v>
      </c>
      <c r="E935" s="3">
        <v>1</v>
      </c>
    </row>
    <row r="936" spans="1:5">
      <c r="A936" s="29" t="s">
        <v>5094</v>
      </c>
      <c r="B936" s="29">
        <v>20220094</v>
      </c>
      <c r="C936" s="29" t="s">
        <v>96</v>
      </c>
      <c r="D936" s="2" t="s">
        <v>7</v>
      </c>
      <c r="E936" s="3">
        <v>1</v>
      </c>
    </row>
    <row r="937" spans="1:5">
      <c r="A937" s="29" t="s">
        <v>5094</v>
      </c>
      <c r="B937" s="29">
        <v>20220095</v>
      </c>
      <c r="C937" s="29" t="s">
        <v>96</v>
      </c>
      <c r="D937" s="2" t="s">
        <v>7</v>
      </c>
      <c r="E937" s="3">
        <v>1</v>
      </c>
    </row>
    <row r="938" spans="1:5">
      <c r="A938" s="29" t="s">
        <v>5094</v>
      </c>
      <c r="B938" s="29">
        <v>20220096</v>
      </c>
      <c r="C938" s="29" t="s">
        <v>96</v>
      </c>
      <c r="D938" s="2" t="s">
        <v>7</v>
      </c>
      <c r="E938" s="3">
        <v>1</v>
      </c>
    </row>
    <row r="939" spans="1:5">
      <c r="A939" s="29" t="s">
        <v>5094</v>
      </c>
      <c r="B939" s="29">
        <v>20220097</v>
      </c>
      <c r="C939" s="29" t="s">
        <v>96</v>
      </c>
      <c r="D939" s="2" t="s">
        <v>7</v>
      </c>
      <c r="E939" s="3">
        <v>1</v>
      </c>
    </row>
    <row r="940" spans="1:5">
      <c r="A940" s="29" t="s">
        <v>5094</v>
      </c>
      <c r="B940" s="29">
        <v>20220098</v>
      </c>
      <c r="C940" s="29" t="s">
        <v>96</v>
      </c>
      <c r="D940" s="2" t="s">
        <v>7</v>
      </c>
      <c r="E940" s="3">
        <v>1</v>
      </c>
    </row>
    <row r="941" spans="1:5">
      <c r="A941" s="29" t="s">
        <v>5094</v>
      </c>
      <c r="B941" s="29">
        <v>20220099</v>
      </c>
      <c r="C941" s="29" t="s">
        <v>96</v>
      </c>
      <c r="D941" s="2" t="s">
        <v>7</v>
      </c>
      <c r="E941" s="3">
        <v>1</v>
      </c>
    </row>
    <row r="942" spans="1:5">
      <c r="A942" s="29" t="s">
        <v>5094</v>
      </c>
      <c r="B942" s="29">
        <v>20131069</v>
      </c>
      <c r="C942" s="29" t="s">
        <v>96</v>
      </c>
      <c r="D942" s="2" t="s">
        <v>7</v>
      </c>
      <c r="E942" s="3">
        <v>1</v>
      </c>
    </row>
    <row r="943" spans="1:5">
      <c r="A943" s="29" t="s">
        <v>5094</v>
      </c>
      <c r="B943" s="29">
        <v>20131070</v>
      </c>
      <c r="C943" s="29" t="s">
        <v>96</v>
      </c>
      <c r="D943" s="2" t="s">
        <v>7</v>
      </c>
      <c r="E943" s="3">
        <v>1</v>
      </c>
    </row>
    <row r="944" spans="1:5">
      <c r="A944" s="29" t="s">
        <v>5094</v>
      </c>
      <c r="B944" s="29">
        <v>20131071</v>
      </c>
      <c r="C944" s="29" t="s">
        <v>96</v>
      </c>
      <c r="D944" s="2" t="s">
        <v>7</v>
      </c>
      <c r="E944" s="3">
        <v>1</v>
      </c>
    </row>
    <row r="945" spans="1:5">
      <c r="A945" s="29" t="s">
        <v>5094</v>
      </c>
      <c r="B945" s="29">
        <v>20131072</v>
      </c>
      <c r="C945" s="29" t="s">
        <v>96</v>
      </c>
      <c r="D945" s="2" t="s">
        <v>7</v>
      </c>
      <c r="E945" s="3">
        <v>1</v>
      </c>
    </row>
    <row r="946" spans="1:5">
      <c r="A946" s="29" t="s">
        <v>5094</v>
      </c>
      <c r="B946" s="29">
        <v>20131073</v>
      </c>
      <c r="C946" s="29" t="s">
        <v>96</v>
      </c>
      <c r="D946" s="2" t="s">
        <v>7</v>
      </c>
      <c r="E946" s="3">
        <v>1</v>
      </c>
    </row>
    <row r="947" spans="1:5">
      <c r="A947" s="29" t="s">
        <v>5094</v>
      </c>
      <c r="B947" s="29">
        <v>20211119</v>
      </c>
      <c r="C947" s="29" t="s">
        <v>96</v>
      </c>
      <c r="D947" s="2" t="s">
        <v>7</v>
      </c>
      <c r="E947" s="3">
        <v>1</v>
      </c>
    </row>
    <row r="948" spans="1:5">
      <c r="A948" s="29" t="s">
        <v>5094</v>
      </c>
      <c r="B948" s="29">
        <v>20211120</v>
      </c>
      <c r="C948" s="29" t="s">
        <v>96</v>
      </c>
      <c r="D948" s="2" t="s">
        <v>7</v>
      </c>
      <c r="E948" s="3">
        <v>1</v>
      </c>
    </row>
    <row r="949" spans="1:5">
      <c r="A949" s="29" t="s">
        <v>5094</v>
      </c>
      <c r="B949" s="29">
        <v>20211121</v>
      </c>
      <c r="C949" s="29" t="s">
        <v>96</v>
      </c>
      <c r="D949" s="2" t="s">
        <v>7</v>
      </c>
      <c r="E949" s="3">
        <v>1</v>
      </c>
    </row>
    <row r="950" spans="1:5">
      <c r="A950" s="29" t="s">
        <v>5094</v>
      </c>
      <c r="B950" s="29">
        <v>20211122</v>
      </c>
      <c r="C950" s="29" t="s">
        <v>96</v>
      </c>
      <c r="D950" s="2" t="s">
        <v>7</v>
      </c>
      <c r="E950" s="3">
        <v>1</v>
      </c>
    </row>
    <row r="951" spans="1:5">
      <c r="A951" s="29" t="s">
        <v>5094</v>
      </c>
      <c r="B951" s="29">
        <v>20211123</v>
      </c>
      <c r="C951" s="29" t="s">
        <v>96</v>
      </c>
      <c r="D951" s="2" t="s">
        <v>7</v>
      </c>
      <c r="E951" s="3">
        <v>1</v>
      </c>
    </row>
    <row r="952" spans="1:5">
      <c r="A952" s="29" t="s">
        <v>5094</v>
      </c>
      <c r="B952" s="29">
        <v>20211124</v>
      </c>
      <c r="C952" s="29" t="s">
        <v>96</v>
      </c>
      <c r="D952" s="2" t="s">
        <v>7</v>
      </c>
      <c r="E952" s="3">
        <v>1</v>
      </c>
    </row>
    <row r="953" spans="1:5">
      <c r="A953" s="29" t="s">
        <v>5094</v>
      </c>
      <c r="B953" s="29">
        <v>20211125</v>
      </c>
      <c r="C953" s="29" t="s">
        <v>96</v>
      </c>
      <c r="D953" s="2" t="s">
        <v>7</v>
      </c>
      <c r="E953" s="3">
        <v>1</v>
      </c>
    </row>
    <row r="954" spans="1:5">
      <c r="A954" s="29" t="s">
        <v>5094</v>
      </c>
      <c r="B954" s="29">
        <v>20211126</v>
      </c>
      <c r="C954" s="29" t="s">
        <v>96</v>
      </c>
      <c r="D954" s="2" t="s">
        <v>7</v>
      </c>
      <c r="E954" s="3">
        <v>1</v>
      </c>
    </row>
    <row r="955" spans="1:5">
      <c r="A955" s="29" t="s">
        <v>5094</v>
      </c>
      <c r="B955" s="29">
        <v>20211127</v>
      </c>
      <c r="C955" s="29" t="s">
        <v>96</v>
      </c>
      <c r="D955" s="2" t="s">
        <v>7</v>
      </c>
      <c r="E955" s="3">
        <v>1</v>
      </c>
    </row>
    <row r="956" spans="1:5">
      <c r="A956" s="29" t="s">
        <v>5094</v>
      </c>
      <c r="B956" s="29">
        <v>20211128</v>
      </c>
      <c r="C956" s="29" t="s">
        <v>96</v>
      </c>
      <c r="D956" s="2" t="s">
        <v>7</v>
      </c>
      <c r="E956" s="3">
        <v>1</v>
      </c>
    </row>
    <row r="957" spans="1:5">
      <c r="A957" s="29" t="s">
        <v>5094</v>
      </c>
      <c r="B957" s="29">
        <v>20211129</v>
      </c>
      <c r="C957" s="29" t="s">
        <v>96</v>
      </c>
      <c r="D957" s="2" t="s">
        <v>7</v>
      </c>
      <c r="E957" s="3">
        <v>1</v>
      </c>
    </row>
    <row r="958" spans="1:5">
      <c r="A958" s="29" t="s">
        <v>5094</v>
      </c>
      <c r="B958" s="29">
        <v>20211130</v>
      </c>
      <c r="C958" s="29" t="s">
        <v>96</v>
      </c>
      <c r="D958" s="2" t="s">
        <v>7</v>
      </c>
      <c r="E958" s="3">
        <v>1</v>
      </c>
    </row>
    <row r="959" spans="1:5">
      <c r="A959" s="29" t="s">
        <v>5094</v>
      </c>
      <c r="B959" s="29">
        <v>20211131</v>
      </c>
      <c r="C959" s="29" t="s">
        <v>96</v>
      </c>
      <c r="D959" s="2" t="s">
        <v>7</v>
      </c>
      <c r="E959" s="3">
        <v>1</v>
      </c>
    </row>
    <row r="960" spans="1:5">
      <c r="A960" s="29" t="s">
        <v>5094</v>
      </c>
      <c r="B960" s="29">
        <v>20211132</v>
      </c>
      <c r="C960" s="29" t="s">
        <v>96</v>
      </c>
      <c r="D960" s="2" t="s">
        <v>7</v>
      </c>
      <c r="E960" s="3">
        <v>1</v>
      </c>
    </row>
    <row r="961" spans="1:5">
      <c r="A961" s="29" t="s">
        <v>5094</v>
      </c>
      <c r="B961" s="29">
        <v>20211133</v>
      </c>
      <c r="C961" s="29" t="s">
        <v>96</v>
      </c>
      <c r="D961" s="2" t="s">
        <v>7</v>
      </c>
      <c r="E961" s="3">
        <v>1</v>
      </c>
    </row>
    <row r="962" spans="1:5">
      <c r="A962" s="29" t="s">
        <v>5094</v>
      </c>
      <c r="B962" s="29">
        <v>20211134</v>
      </c>
      <c r="C962" s="29" t="s">
        <v>96</v>
      </c>
      <c r="D962" s="2" t="s">
        <v>7</v>
      </c>
      <c r="E962" s="3">
        <v>1</v>
      </c>
    </row>
    <row r="963" spans="1:5">
      <c r="A963" s="29" t="s">
        <v>5094</v>
      </c>
      <c r="B963" s="29">
        <v>20211135</v>
      </c>
      <c r="C963" s="29" t="s">
        <v>96</v>
      </c>
      <c r="D963" s="2" t="s">
        <v>7</v>
      </c>
      <c r="E963" s="3">
        <v>1</v>
      </c>
    </row>
    <row r="964" spans="1:5">
      <c r="A964" s="29" t="s">
        <v>5094</v>
      </c>
      <c r="B964" s="29">
        <v>20211136</v>
      </c>
      <c r="C964" s="29" t="s">
        <v>96</v>
      </c>
      <c r="D964" s="2" t="s">
        <v>7</v>
      </c>
      <c r="E964" s="3">
        <v>1</v>
      </c>
    </row>
    <row r="965" spans="1:5">
      <c r="A965" s="29" t="s">
        <v>5094</v>
      </c>
      <c r="B965" s="29">
        <v>20211137</v>
      </c>
      <c r="C965" s="29" t="s">
        <v>96</v>
      </c>
      <c r="D965" s="2" t="s">
        <v>7</v>
      </c>
      <c r="E965" s="3">
        <v>1</v>
      </c>
    </row>
    <row r="966" spans="1:5">
      <c r="A966" s="29" t="s">
        <v>5094</v>
      </c>
      <c r="B966" s="29">
        <v>20211138</v>
      </c>
      <c r="C966" s="29" t="s">
        <v>96</v>
      </c>
      <c r="D966" s="2" t="s">
        <v>7</v>
      </c>
      <c r="E966" s="3">
        <v>1</v>
      </c>
    </row>
    <row r="967" spans="1:5">
      <c r="A967" s="29" t="s">
        <v>5094</v>
      </c>
      <c r="B967" s="29">
        <v>20211139</v>
      </c>
      <c r="C967" s="29" t="s">
        <v>96</v>
      </c>
      <c r="D967" s="2" t="s">
        <v>7</v>
      </c>
      <c r="E967" s="3">
        <v>1</v>
      </c>
    </row>
    <row r="968" spans="1:5">
      <c r="A968" s="29" t="s">
        <v>5094</v>
      </c>
      <c r="B968" s="29">
        <v>20211140</v>
      </c>
      <c r="C968" s="29" t="s">
        <v>96</v>
      </c>
      <c r="D968" s="2" t="s">
        <v>7</v>
      </c>
      <c r="E968" s="3">
        <v>1</v>
      </c>
    </row>
    <row r="969" spans="1:5">
      <c r="A969" s="29" t="s">
        <v>5094</v>
      </c>
      <c r="B969" s="29">
        <v>20211141</v>
      </c>
      <c r="C969" s="29" t="s">
        <v>96</v>
      </c>
      <c r="D969" s="2" t="s">
        <v>7</v>
      </c>
      <c r="E969" s="3">
        <v>1</v>
      </c>
    </row>
    <row r="970" spans="1:5">
      <c r="A970" s="29" t="s">
        <v>5094</v>
      </c>
      <c r="B970" s="29">
        <v>20211142</v>
      </c>
      <c r="C970" s="29" t="s">
        <v>96</v>
      </c>
      <c r="D970" s="2" t="s">
        <v>7</v>
      </c>
      <c r="E970" s="3">
        <v>1</v>
      </c>
    </row>
    <row r="971" spans="1:5">
      <c r="A971" s="29" t="s">
        <v>5094</v>
      </c>
      <c r="B971" s="29">
        <v>20211143</v>
      </c>
      <c r="C971" s="29" t="s">
        <v>96</v>
      </c>
      <c r="D971" s="2" t="s">
        <v>7</v>
      </c>
      <c r="E971" s="3">
        <v>1</v>
      </c>
    </row>
    <row r="972" spans="1:5">
      <c r="A972" s="29" t="s">
        <v>5094</v>
      </c>
      <c r="B972" s="29">
        <v>20211144</v>
      </c>
      <c r="C972" s="29" t="s">
        <v>96</v>
      </c>
      <c r="D972" s="2" t="s">
        <v>7</v>
      </c>
      <c r="E972" s="3">
        <v>1</v>
      </c>
    </row>
    <row r="973" spans="1:5">
      <c r="A973" s="29" t="s">
        <v>5094</v>
      </c>
      <c r="B973" s="29">
        <v>20211145</v>
      </c>
      <c r="C973" s="29" t="s">
        <v>96</v>
      </c>
      <c r="D973" s="2" t="s">
        <v>7</v>
      </c>
      <c r="E973" s="3">
        <v>1</v>
      </c>
    </row>
    <row r="974" spans="1:5">
      <c r="A974" s="29" t="s">
        <v>5094</v>
      </c>
      <c r="B974" s="29">
        <v>20211146</v>
      </c>
      <c r="C974" s="29" t="s">
        <v>96</v>
      </c>
      <c r="D974" s="2" t="s">
        <v>7</v>
      </c>
      <c r="E974" s="3">
        <v>1</v>
      </c>
    </row>
    <row r="975" spans="1:5">
      <c r="A975" s="29" t="s">
        <v>5094</v>
      </c>
      <c r="B975" s="29">
        <v>20211147</v>
      </c>
      <c r="C975" s="29" t="s">
        <v>96</v>
      </c>
      <c r="D975" s="2" t="s">
        <v>7</v>
      </c>
      <c r="E975" s="3">
        <v>1</v>
      </c>
    </row>
    <row r="976" spans="1:5">
      <c r="A976" s="29" t="s">
        <v>5094</v>
      </c>
      <c r="B976" s="29">
        <v>20211148</v>
      </c>
      <c r="C976" s="29" t="s">
        <v>96</v>
      </c>
      <c r="D976" s="2" t="s">
        <v>7</v>
      </c>
      <c r="E976" s="3">
        <v>1</v>
      </c>
    </row>
    <row r="977" spans="1:5">
      <c r="A977" s="29" t="s">
        <v>5094</v>
      </c>
      <c r="B977" s="29">
        <v>20211149</v>
      </c>
      <c r="C977" s="29" t="s">
        <v>96</v>
      </c>
      <c r="D977" s="2" t="s">
        <v>7</v>
      </c>
      <c r="E977" s="3">
        <v>1</v>
      </c>
    </row>
    <row r="978" spans="1:5">
      <c r="A978" s="29" t="s">
        <v>5094</v>
      </c>
      <c r="B978" s="29">
        <v>20211150</v>
      </c>
      <c r="C978" s="29" t="s">
        <v>96</v>
      </c>
      <c r="D978" s="2" t="s">
        <v>7</v>
      </c>
      <c r="E978" s="3">
        <v>1</v>
      </c>
    </row>
    <row r="979" spans="1:5">
      <c r="A979" s="29" t="s">
        <v>5094</v>
      </c>
      <c r="B979" s="29">
        <v>20211151</v>
      </c>
      <c r="C979" s="29" t="s">
        <v>96</v>
      </c>
      <c r="D979" s="2" t="s">
        <v>7</v>
      </c>
      <c r="E979" s="3">
        <v>1</v>
      </c>
    </row>
    <row r="980" spans="1:5">
      <c r="A980" s="29" t="s">
        <v>5094</v>
      </c>
      <c r="B980" s="29">
        <v>20211152</v>
      </c>
      <c r="C980" s="29" t="s">
        <v>96</v>
      </c>
      <c r="D980" s="2" t="s">
        <v>7</v>
      </c>
      <c r="E980" s="3">
        <v>1</v>
      </c>
    </row>
    <row r="981" spans="1:5">
      <c r="A981" s="29" t="s">
        <v>5094</v>
      </c>
      <c r="B981" s="29">
        <v>20211153</v>
      </c>
      <c r="C981" s="29" t="s">
        <v>96</v>
      </c>
      <c r="D981" s="2" t="s">
        <v>7</v>
      </c>
      <c r="E981" s="3">
        <v>1</v>
      </c>
    </row>
    <row r="982" spans="1:5">
      <c r="A982" s="29" t="s">
        <v>5094</v>
      </c>
      <c r="B982" s="29">
        <v>20211154</v>
      </c>
      <c r="C982" s="29" t="s">
        <v>96</v>
      </c>
      <c r="D982" s="2" t="s">
        <v>7</v>
      </c>
      <c r="E982" s="3">
        <v>1</v>
      </c>
    </row>
    <row r="983" spans="1:5">
      <c r="A983" s="29" t="s">
        <v>5094</v>
      </c>
      <c r="B983" s="29">
        <v>20211155</v>
      </c>
      <c r="C983" s="29" t="s">
        <v>96</v>
      </c>
      <c r="D983" s="2" t="s">
        <v>7</v>
      </c>
      <c r="E983" s="3">
        <v>1</v>
      </c>
    </row>
    <row r="984" spans="1:5">
      <c r="A984" s="29" t="s">
        <v>5094</v>
      </c>
      <c r="B984" s="29">
        <v>20211156</v>
      </c>
      <c r="C984" s="29" t="s">
        <v>96</v>
      </c>
      <c r="D984" s="2" t="s">
        <v>7</v>
      </c>
      <c r="E984" s="3">
        <v>1</v>
      </c>
    </row>
    <row r="985" spans="1:5">
      <c r="A985" s="29" t="s">
        <v>5094</v>
      </c>
      <c r="B985" s="29">
        <v>20211157</v>
      </c>
      <c r="C985" s="29" t="s">
        <v>96</v>
      </c>
      <c r="D985" s="2" t="s">
        <v>7</v>
      </c>
      <c r="E985" s="3">
        <v>1</v>
      </c>
    </row>
    <row r="986" spans="1:5">
      <c r="A986" s="29" t="s">
        <v>5094</v>
      </c>
      <c r="B986" s="29">
        <v>20211158</v>
      </c>
      <c r="C986" s="29" t="s">
        <v>96</v>
      </c>
      <c r="D986" s="2" t="s">
        <v>7</v>
      </c>
      <c r="E986" s="3">
        <v>1</v>
      </c>
    </row>
    <row r="987" spans="1:5">
      <c r="A987" s="29" t="s">
        <v>5094</v>
      </c>
      <c r="B987" s="29">
        <v>20211159</v>
      </c>
      <c r="C987" s="29" t="s">
        <v>96</v>
      </c>
      <c r="D987" s="2" t="s">
        <v>7</v>
      </c>
      <c r="E987" s="3">
        <v>1</v>
      </c>
    </row>
    <row r="988" spans="1:5">
      <c r="A988" s="29" t="s">
        <v>5094</v>
      </c>
      <c r="B988" s="29">
        <v>20211160</v>
      </c>
      <c r="C988" s="29" t="s">
        <v>96</v>
      </c>
      <c r="D988" s="2" t="s">
        <v>7</v>
      </c>
      <c r="E988" s="3">
        <v>1</v>
      </c>
    </row>
    <row r="989" spans="1:5">
      <c r="A989" s="29" t="s">
        <v>5094</v>
      </c>
      <c r="B989" s="29">
        <v>20211161</v>
      </c>
      <c r="C989" s="29" t="s">
        <v>96</v>
      </c>
      <c r="D989" s="2" t="s">
        <v>7</v>
      </c>
      <c r="E989" s="3">
        <v>1</v>
      </c>
    </row>
    <row r="990" spans="1:5">
      <c r="A990" s="29" t="s">
        <v>5094</v>
      </c>
      <c r="B990" s="29">
        <v>20211162</v>
      </c>
      <c r="C990" s="29" t="s">
        <v>96</v>
      </c>
      <c r="D990" s="2" t="s">
        <v>7</v>
      </c>
      <c r="E990" s="3">
        <v>1</v>
      </c>
    </row>
    <row r="991" spans="1:5">
      <c r="A991" s="29" t="s">
        <v>5094</v>
      </c>
      <c r="B991" s="29">
        <v>20211163</v>
      </c>
      <c r="C991" s="29" t="s">
        <v>96</v>
      </c>
      <c r="D991" s="2" t="s">
        <v>7</v>
      </c>
      <c r="E991" s="3">
        <v>1</v>
      </c>
    </row>
    <row r="992" spans="1:5">
      <c r="A992" s="29" t="s">
        <v>5094</v>
      </c>
      <c r="B992" s="29">
        <v>20211164</v>
      </c>
      <c r="C992" s="29" t="s">
        <v>96</v>
      </c>
      <c r="D992" s="2" t="s">
        <v>7</v>
      </c>
      <c r="E992" s="3">
        <v>1</v>
      </c>
    </row>
    <row r="993" spans="1:5">
      <c r="A993" s="29" t="s">
        <v>5094</v>
      </c>
      <c r="B993" s="29">
        <v>20211165</v>
      </c>
      <c r="C993" s="29" t="s">
        <v>96</v>
      </c>
      <c r="D993" s="2" t="s">
        <v>7</v>
      </c>
      <c r="E993" s="3">
        <v>1</v>
      </c>
    </row>
    <row r="994" spans="1:5">
      <c r="A994" s="29" t="s">
        <v>5094</v>
      </c>
      <c r="B994" s="29">
        <v>20211166</v>
      </c>
      <c r="C994" s="29" t="s">
        <v>96</v>
      </c>
      <c r="D994" s="2" t="s">
        <v>7</v>
      </c>
      <c r="E994" s="3">
        <v>1</v>
      </c>
    </row>
    <row r="995" spans="1:5">
      <c r="A995" s="29" t="s">
        <v>5094</v>
      </c>
      <c r="B995" s="29">
        <v>20211167</v>
      </c>
      <c r="C995" s="29" t="s">
        <v>96</v>
      </c>
      <c r="D995" s="2" t="s">
        <v>7</v>
      </c>
      <c r="E995" s="3">
        <v>1</v>
      </c>
    </row>
    <row r="996" spans="1:5">
      <c r="A996" s="29" t="s">
        <v>5094</v>
      </c>
      <c r="B996" s="29">
        <v>20211168</v>
      </c>
      <c r="C996" s="29" t="s">
        <v>96</v>
      </c>
      <c r="D996" s="2" t="s">
        <v>7</v>
      </c>
      <c r="E996" s="3">
        <v>1</v>
      </c>
    </row>
    <row r="997" spans="1:5">
      <c r="A997" s="29" t="s">
        <v>5094</v>
      </c>
      <c r="B997" s="29">
        <v>20211169</v>
      </c>
      <c r="C997" s="29" t="s">
        <v>96</v>
      </c>
      <c r="D997" s="2" t="s">
        <v>7</v>
      </c>
      <c r="E997" s="3">
        <v>1</v>
      </c>
    </row>
    <row r="998" spans="1:5">
      <c r="A998" s="29" t="s">
        <v>5094</v>
      </c>
      <c r="B998" s="29">
        <v>20211170</v>
      </c>
      <c r="C998" s="29" t="s">
        <v>96</v>
      </c>
      <c r="D998" s="2" t="s">
        <v>7</v>
      </c>
      <c r="E998" s="3">
        <v>1</v>
      </c>
    </row>
    <row r="999" spans="1:5">
      <c r="A999" s="29" t="s">
        <v>5094</v>
      </c>
      <c r="B999" s="29">
        <v>20211171</v>
      </c>
      <c r="C999" s="29" t="s">
        <v>96</v>
      </c>
      <c r="D999" s="2" t="s">
        <v>7</v>
      </c>
      <c r="E999" s="3">
        <v>1</v>
      </c>
    </row>
    <row r="1000" spans="1:5">
      <c r="A1000" s="29" t="s">
        <v>5094</v>
      </c>
      <c r="B1000" s="29">
        <v>20022045</v>
      </c>
      <c r="C1000" s="29" t="s">
        <v>96</v>
      </c>
      <c r="D1000" s="2" t="s">
        <v>7</v>
      </c>
      <c r="E1000" s="3">
        <v>1</v>
      </c>
    </row>
    <row r="1001" spans="1:5">
      <c r="A1001" s="29" t="s">
        <v>5094</v>
      </c>
      <c r="B1001" s="29">
        <v>20080114</v>
      </c>
      <c r="C1001" s="29" t="s">
        <v>96</v>
      </c>
      <c r="D1001" s="2" t="s">
        <v>7</v>
      </c>
      <c r="E1001" s="3">
        <v>1</v>
      </c>
    </row>
    <row r="1002" spans="1:5">
      <c r="A1002" s="29" t="s">
        <v>5094</v>
      </c>
      <c r="B1002" s="29">
        <v>20080121</v>
      </c>
      <c r="C1002" s="29" t="s">
        <v>96</v>
      </c>
      <c r="D1002" s="2" t="s">
        <v>7</v>
      </c>
      <c r="E1002" s="3">
        <v>1</v>
      </c>
    </row>
    <row r="1003" spans="1:5">
      <c r="A1003" s="29" t="s">
        <v>5094</v>
      </c>
      <c r="B1003" s="29">
        <v>20080127</v>
      </c>
      <c r="C1003" s="29" t="s">
        <v>96</v>
      </c>
      <c r="D1003" s="2" t="s">
        <v>7</v>
      </c>
      <c r="E1003" s="3">
        <v>1</v>
      </c>
    </row>
    <row r="1004" spans="1:5">
      <c r="A1004" s="29" t="s">
        <v>5094</v>
      </c>
      <c r="B1004" s="29">
        <v>20080128</v>
      </c>
      <c r="C1004" s="29" t="s">
        <v>96</v>
      </c>
      <c r="D1004" s="2" t="s">
        <v>7</v>
      </c>
      <c r="E1004" s="3">
        <v>1</v>
      </c>
    </row>
    <row r="1005" spans="1:5">
      <c r="A1005" s="29" t="s">
        <v>5094</v>
      </c>
      <c r="B1005" s="29">
        <v>20080129</v>
      </c>
      <c r="C1005" s="29" t="s">
        <v>96</v>
      </c>
      <c r="D1005" s="2" t="s">
        <v>7</v>
      </c>
      <c r="E1005" s="3">
        <v>1</v>
      </c>
    </row>
    <row r="1006" spans="1:5">
      <c r="A1006" s="29" t="s">
        <v>5094</v>
      </c>
      <c r="B1006" s="29">
        <v>20080140</v>
      </c>
      <c r="C1006" s="29" t="s">
        <v>96</v>
      </c>
      <c r="D1006" s="2" t="s">
        <v>7</v>
      </c>
      <c r="E1006" s="3">
        <v>1</v>
      </c>
    </row>
    <row r="1007" spans="1:5">
      <c r="A1007" s="29" t="s">
        <v>5094</v>
      </c>
      <c r="B1007" s="29">
        <v>20080141</v>
      </c>
      <c r="C1007" s="29" t="s">
        <v>96</v>
      </c>
      <c r="D1007" s="2" t="s">
        <v>7</v>
      </c>
      <c r="E1007" s="3">
        <v>1</v>
      </c>
    </row>
    <row r="1008" spans="1:5">
      <c r="A1008" s="29" t="s">
        <v>5094</v>
      </c>
      <c r="B1008" s="29">
        <v>20080143</v>
      </c>
      <c r="C1008" s="29" t="s">
        <v>96</v>
      </c>
      <c r="D1008" s="2" t="s">
        <v>7</v>
      </c>
      <c r="E1008" s="3">
        <v>1</v>
      </c>
    </row>
    <row r="1009" spans="1:5">
      <c r="A1009" s="29" t="s">
        <v>5094</v>
      </c>
      <c r="B1009" s="29">
        <v>20080145</v>
      </c>
      <c r="C1009" s="29" t="s">
        <v>96</v>
      </c>
      <c r="D1009" s="2" t="s">
        <v>7</v>
      </c>
      <c r="E1009" s="3">
        <v>1</v>
      </c>
    </row>
    <row r="1010" spans="1:5">
      <c r="A1010" s="29" t="s">
        <v>5094</v>
      </c>
      <c r="B1010" s="29">
        <v>20080148</v>
      </c>
      <c r="C1010" s="29" t="s">
        <v>96</v>
      </c>
      <c r="D1010" s="2" t="s">
        <v>7</v>
      </c>
      <c r="E1010" s="3">
        <v>1</v>
      </c>
    </row>
    <row r="1011" spans="1:5">
      <c r="A1011" s="29" t="s">
        <v>5094</v>
      </c>
      <c r="B1011" s="29">
        <v>20080150</v>
      </c>
      <c r="C1011" s="29" t="s">
        <v>96</v>
      </c>
      <c r="D1011" s="2" t="s">
        <v>7</v>
      </c>
      <c r="E1011" s="3">
        <v>1</v>
      </c>
    </row>
    <row r="1012" spans="1:5">
      <c r="A1012" s="29" t="s">
        <v>5094</v>
      </c>
      <c r="B1012" s="29">
        <v>20080151</v>
      </c>
      <c r="C1012" s="29" t="s">
        <v>96</v>
      </c>
      <c r="D1012" s="2" t="s">
        <v>7</v>
      </c>
      <c r="E1012" s="3">
        <v>1</v>
      </c>
    </row>
    <row r="1013" spans="1:5">
      <c r="A1013" s="29" t="s">
        <v>5094</v>
      </c>
      <c r="B1013" s="29">
        <v>20080153</v>
      </c>
      <c r="C1013" s="29" t="s">
        <v>96</v>
      </c>
      <c r="D1013" s="2" t="s">
        <v>7</v>
      </c>
      <c r="E1013" s="3">
        <v>1</v>
      </c>
    </row>
    <row r="1014" spans="1:5">
      <c r="A1014" s="29" t="s">
        <v>5094</v>
      </c>
      <c r="B1014" s="29">
        <v>20080154</v>
      </c>
      <c r="C1014" s="29" t="s">
        <v>96</v>
      </c>
      <c r="D1014" s="2" t="s">
        <v>7</v>
      </c>
      <c r="E1014" s="3">
        <v>1</v>
      </c>
    </row>
    <row r="1015" spans="1:5">
      <c r="A1015" s="29" t="s">
        <v>5094</v>
      </c>
      <c r="B1015" s="29">
        <v>20080156</v>
      </c>
      <c r="C1015" s="29" t="s">
        <v>96</v>
      </c>
      <c r="D1015" s="2" t="s">
        <v>7</v>
      </c>
      <c r="E1015" s="3">
        <v>1</v>
      </c>
    </row>
    <row r="1016" spans="1:5">
      <c r="A1016" s="29" t="s">
        <v>5094</v>
      </c>
      <c r="B1016" s="29">
        <v>20080159</v>
      </c>
      <c r="C1016" s="29" t="s">
        <v>96</v>
      </c>
      <c r="D1016" s="2" t="s">
        <v>7</v>
      </c>
      <c r="E1016" s="3">
        <v>1</v>
      </c>
    </row>
    <row r="1017" spans="1:5">
      <c r="A1017" s="29" t="s">
        <v>5094</v>
      </c>
      <c r="B1017" s="29">
        <v>20080161</v>
      </c>
      <c r="C1017" s="29" t="s">
        <v>96</v>
      </c>
      <c r="D1017" s="2" t="s">
        <v>7</v>
      </c>
      <c r="E1017" s="3">
        <v>1</v>
      </c>
    </row>
    <row r="1018" spans="1:5">
      <c r="A1018" s="29" t="s">
        <v>5094</v>
      </c>
      <c r="B1018" s="29">
        <v>20080166</v>
      </c>
      <c r="C1018" s="29" t="s">
        <v>96</v>
      </c>
      <c r="D1018" s="2" t="s">
        <v>7</v>
      </c>
      <c r="E1018" s="3">
        <v>1</v>
      </c>
    </row>
    <row r="1019" spans="1:5">
      <c r="A1019" s="29" t="s">
        <v>5094</v>
      </c>
      <c r="B1019" s="29">
        <v>20080169</v>
      </c>
      <c r="C1019" s="29" t="s">
        <v>96</v>
      </c>
      <c r="D1019" s="2" t="s">
        <v>7</v>
      </c>
      <c r="E1019" s="3">
        <v>1</v>
      </c>
    </row>
    <row r="1020" spans="1:5">
      <c r="A1020" s="29" t="s">
        <v>5094</v>
      </c>
      <c r="B1020" s="29">
        <v>20080172</v>
      </c>
      <c r="C1020" s="29" t="s">
        <v>96</v>
      </c>
      <c r="D1020" s="2" t="s">
        <v>7</v>
      </c>
      <c r="E1020" s="3">
        <v>1</v>
      </c>
    </row>
    <row r="1021" spans="1:5">
      <c r="A1021" s="29" t="s">
        <v>5094</v>
      </c>
      <c r="B1021" s="29">
        <v>20080173</v>
      </c>
      <c r="C1021" s="29" t="s">
        <v>96</v>
      </c>
      <c r="D1021" s="2" t="s">
        <v>7</v>
      </c>
      <c r="E1021" s="3">
        <v>1</v>
      </c>
    </row>
    <row r="1022" spans="1:5">
      <c r="A1022" s="29" t="s">
        <v>5094</v>
      </c>
      <c r="B1022" s="29">
        <v>20080174</v>
      </c>
      <c r="C1022" s="29" t="s">
        <v>96</v>
      </c>
      <c r="D1022" s="2" t="s">
        <v>7</v>
      </c>
      <c r="E1022" s="3">
        <v>1</v>
      </c>
    </row>
    <row r="1023" spans="1:5">
      <c r="A1023" s="29" t="s">
        <v>5094</v>
      </c>
      <c r="B1023" s="29">
        <v>20080177</v>
      </c>
      <c r="C1023" s="29" t="s">
        <v>96</v>
      </c>
      <c r="D1023" s="2" t="s">
        <v>7</v>
      </c>
      <c r="E1023" s="3">
        <v>1</v>
      </c>
    </row>
    <row r="1024" spans="1:5">
      <c r="A1024" s="29" t="s">
        <v>5094</v>
      </c>
      <c r="B1024" s="29">
        <v>20080179</v>
      </c>
      <c r="C1024" s="29" t="s">
        <v>96</v>
      </c>
      <c r="D1024" s="2" t="s">
        <v>7</v>
      </c>
      <c r="E1024" s="3">
        <v>1</v>
      </c>
    </row>
    <row r="1025" spans="1:5">
      <c r="A1025" s="29" t="s">
        <v>5094</v>
      </c>
      <c r="B1025" s="29">
        <v>20080183</v>
      </c>
      <c r="C1025" s="29" t="s">
        <v>96</v>
      </c>
      <c r="D1025" s="2" t="s">
        <v>7</v>
      </c>
      <c r="E1025" s="3">
        <v>1</v>
      </c>
    </row>
    <row r="1026" spans="1:5">
      <c r="A1026" s="29" t="s">
        <v>5094</v>
      </c>
      <c r="B1026" s="29">
        <v>20080194</v>
      </c>
      <c r="C1026" s="29" t="s">
        <v>96</v>
      </c>
      <c r="D1026" s="2" t="s">
        <v>7</v>
      </c>
      <c r="E1026" s="3">
        <v>1</v>
      </c>
    </row>
    <row r="1027" spans="1:5">
      <c r="A1027" s="29" t="s">
        <v>5094</v>
      </c>
      <c r="B1027" s="29">
        <v>20080198</v>
      </c>
      <c r="C1027" s="29" t="s">
        <v>96</v>
      </c>
      <c r="D1027" s="2" t="s">
        <v>7</v>
      </c>
      <c r="E1027" s="3">
        <v>1</v>
      </c>
    </row>
    <row r="1028" spans="1:5">
      <c r="A1028" s="29" t="s">
        <v>5094</v>
      </c>
      <c r="B1028" s="29">
        <v>20080200</v>
      </c>
      <c r="C1028" s="29" t="s">
        <v>96</v>
      </c>
      <c r="D1028" s="2" t="s">
        <v>7</v>
      </c>
      <c r="E1028" s="3">
        <v>1</v>
      </c>
    </row>
    <row r="1029" spans="1:5">
      <c r="A1029" s="29" t="s">
        <v>5094</v>
      </c>
      <c r="B1029" s="29">
        <v>20080201</v>
      </c>
      <c r="C1029" s="29" t="s">
        <v>96</v>
      </c>
      <c r="D1029" s="2" t="s">
        <v>7</v>
      </c>
      <c r="E1029" s="3">
        <v>1</v>
      </c>
    </row>
    <row r="1030" spans="1:5">
      <c r="A1030" s="29" t="s">
        <v>5094</v>
      </c>
      <c r="B1030" s="29">
        <v>20080202</v>
      </c>
      <c r="C1030" s="29" t="s">
        <v>96</v>
      </c>
      <c r="D1030" s="2" t="s">
        <v>7</v>
      </c>
      <c r="E1030" s="3">
        <v>1</v>
      </c>
    </row>
    <row r="1031" spans="1:5">
      <c r="A1031" s="29" t="s">
        <v>5094</v>
      </c>
      <c r="B1031" s="29">
        <v>20080204</v>
      </c>
      <c r="C1031" s="29" t="s">
        <v>96</v>
      </c>
      <c r="D1031" s="2" t="s">
        <v>7</v>
      </c>
      <c r="E1031" s="3">
        <v>1</v>
      </c>
    </row>
    <row r="1032" spans="1:5">
      <c r="A1032" s="29" t="s">
        <v>5094</v>
      </c>
      <c r="B1032" s="29">
        <v>20080208</v>
      </c>
      <c r="C1032" s="29" t="s">
        <v>96</v>
      </c>
      <c r="D1032" s="2" t="s">
        <v>7</v>
      </c>
      <c r="E1032" s="3">
        <v>1</v>
      </c>
    </row>
    <row r="1033" spans="1:5">
      <c r="A1033" s="29" t="s">
        <v>5094</v>
      </c>
      <c r="B1033" s="29">
        <v>20080209</v>
      </c>
      <c r="C1033" s="29" t="s">
        <v>96</v>
      </c>
      <c r="D1033" s="2" t="s">
        <v>7</v>
      </c>
      <c r="E1033" s="3">
        <v>1</v>
      </c>
    </row>
    <row r="1034" spans="1:5">
      <c r="A1034" s="29" t="s">
        <v>5094</v>
      </c>
      <c r="B1034" s="29">
        <v>20080210</v>
      </c>
      <c r="C1034" s="29" t="s">
        <v>96</v>
      </c>
      <c r="D1034" s="2" t="s">
        <v>7</v>
      </c>
      <c r="E1034" s="3">
        <v>1</v>
      </c>
    </row>
    <row r="1035" spans="1:5">
      <c r="A1035" s="29" t="s">
        <v>5094</v>
      </c>
      <c r="B1035" s="29">
        <v>20080215</v>
      </c>
      <c r="C1035" s="29" t="s">
        <v>96</v>
      </c>
      <c r="D1035" s="2" t="s">
        <v>7</v>
      </c>
      <c r="E1035" s="3">
        <v>1</v>
      </c>
    </row>
    <row r="1036" spans="1:5">
      <c r="A1036" s="29" t="s">
        <v>5094</v>
      </c>
      <c r="B1036" s="29">
        <v>20080218</v>
      </c>
      <c r="C1036" s="29" t="s">
        <v>96</v>
      </c>
      <c r="D1036" s="2" t="s">
        <v>7</v>
      </c>
      <c r="E1036" s="3">
        <v>1</v>
      </c>
    </row>
    <row r="1037" spans="1:5">
      <c r="A1037" s="29" t="s">
        <v>5094</v>
      </c>
      <c r="B1037" s="29">
        <v>20080220</v>
      </c>
      <c r="C1037" s="29" t="s">
        <v>96</v>
      </c>
      <c r="D1037" s="2" t="s">
        <v>7</v>
      </c>
      <c r="E1037" s="3">
        <v>1</v>
      </c>
    </row>
    <row r="1038" spans="1:5">
      <c r="A1038" s="29" t="s">
        <v>5094</v>
      </c>
      <c r="B1038" s="29">
        <v>20080222</v>
      </c>
      <c r="C1038" s="29" t="s">
        <v>96</v>
      </c>
      <c r="D1038" s="2" t="s">
        <v>7</v>
      </c>
      <c r="E1038" s="3">
        <v>1</v>
      </c>
    </row>
    <row r="1039" spans="1:5">
      <c r="A1039" s="29" t="s">
        <v>5094</v>
      </c>
      <c r="B1039" s="29">
        <v>20080223</v>
      </c>
      <c r="C1039" s="29" t="s">
        <v>96</v>
      </c>
      <c r="D1039" s="2" t="s">
        <v>7</v>
      </c>
      <c r="E1039" s="3">
        <v>1</v>
      </c>
    </row>
    <row r="1040" spans="1:5">
      <c r="A1040" s="29" t="s">
        <v>5094</v>
      </c>
      <c r="B1040" s="29">
        <v>20080227</v>
      </c>
      <c r="C1040" s="29" t="s">
        <v>96</v>
      </c>
      <c r="D1040" s="2" t="s">
        <v>7</v>
      </c>
      <c r="E1040" s="3">
        <v>1</v>
      </c>
    </row>
    <row r="1041" spans="1:5">
      <c r="A1041" s="29" t="s">
        <v>5094</v>
      </c>
      <c r="B1041" s="29">
        <v>20080281</v>
      </c>
      <c r="C1041" s="29" t="s">
        <v>96</v>
      </c>
      <c r="D1041" s="2" t="s">
        <v>7</v>
      </c>
      <c r="E1041" s="3">
        <v>1</v>
      </c>
    </row>
    <row r="1042" spans="1:5">
      <c r="A1042" s="29" t="s">
        <v>5094</v>
      </c>
      <c r="B1042" s="29">
        <v>20110094</v>
      </c>
      <c r="C1042" s="29" t="s">
        <v>96</v>
      </c>
      <c r="D1042" s="2" t="s">
        <v>7</v>
      </c>
      <c r="E1042" s="3">
        <v>1</v>
      </c>
    </row>
    <row r="1043" spans="1:5">
      <c r="A1043" s="29" t="s">
        <v>5094</v>
      </c>
      <c r="B1043" s="29">
        <v>20110095</v>
      </c>
      <c r="C1043" s="29" t="s">
        <v>96</v>
      </c>
      <c r="D1043" s="2" t="s">
        <v>7</v>
      </c>
      <c r="E1043" s="3">
        <v>1</v>
      </c>
    </row>
    <row r="1044" spans="1:5">
      <c r="A1044" s="29" t="s">
        <v>5094</v>
      </c>
      <c r="B1044" s="29">
        <v>20110096</v>
      </c>
      <c r="C1044" s="29" t="s">
        <v>96</v>
      </c>
      <c r="D1044" s="2" t="s">
        <v>7</v>
      </c>
      <c r="E1044" s="3">
        <v>1</v>
      </c>
    </row>
    <row r="1045" spans="1:5">
      <c r="A1045" s="29" t="s">
        <v>5094</v>
      </c>
      <c r="B1045" s="29">
        <v>20110097</v>
      </c>
      <c r="C1045" s="29" t="s">
        <v>96</v>
      </c>
      <c r="D1045" s="2" t="s">
        <v>7</v>
      </c>
      <c r="E1045" s="3">
        <v>1</v>
      </c>
    </row>
    <row r="1046" spans="1:5">
      <c r="A1046" s="29" t="s">
        <v>5094</v>
      </c>
      <c r="B1046" s="29">
        <v>20110098</v>
      </c>
      <c r="C1046" s="29" t="s">
        <v>96</v>
      </c>
      <c r="D1046" s="2" t="s">
        <v>7</v>
      </c>
      <c r="E1046" s="3">
        <v>1</v>
      </c>
    </row>
    <row r="1047" spans="1:5">
      <c r="A1047" s="29" t="s">
        <v>5094</v>
      </c>
      <c r="B1047" s="29">
        <v>20120552</v>
      </c>
      <c r="C1047" s="29" t="s">
        <v>96</v>
      </c>
      <c r="D1047" s="2" t="s">
        <v>7</v>
      </c>
      <c r="E1047" s="3">
        <v>1</v>
      </c>
    </row>
    <row r="1048" spans="1:5">
      <c r="A1048" s="29" t="s">
        <v>5094</v>
      </c>
      <c r="B1048" s="29">
        <v>20120553</v>
      </c>
      <c r="C1048" s="29" t="s">
        <v>96</v>
      </c>
      <c r="D1048" s="2" t="s">
        <v>7</v>
      </c>
      <c r="E1048" s="3">
        <v>1</v>
      </c>
    </row>
    <row r="1049" spans="1:5">
      <c r="A1049" s="29" t="s">
        <v>5094</v>
      </c>
      <c r="B1049" s="29">
        <v>20120554</v>
      </c>
      <c r="C1049" s="29" t="s">
        <v>96</v>
      </c>
      <c r="D1049" s="2" t="s">
        <v>7</v>
      </c>
      <c r="E1049" s="3">
        <v>1</v>
      </c>
    </row>
    <row r="1050" spans="1:5">
      <c r="A1050" s="29" t="s">
        <v>5094</v>
      </c>
      <c r="B1050" s="29">
        <v>20120555</v>
      </c>
      <c r="C1050" s="29" t="s">
        <v>96</v>
      </c>
      <c r="D1050" s="2" t="s">
        <v>7</v>
      </c>
      <c r="E1050" s="3">
        <v>1</v>
      </c>
    </row>
    <row r="1051" spans="1:5">
      <c r="A1051" s="29" t="s">
        <v>5094</v>
      </c>
      <c r="B1051" s="29">
        <v>20120556</v>
      </c>
      <c r="C1051" s="29" t="s">
        <v>96</v>
      </c>
      <c r="D1051" s="2" t="s">
        <v>7</v>
      </c>
      <c r="E1051" s="3">
        <v>1</v>
      </c>
    </row>
    <row r="1052" spans="1:5">
      <c r="A1052" s="29" t="s">
        <v>5094</v>
      </c>
      <c r="B1052" s="29">
        <v>20120557</v>
      </c>
      <c r="C1052" s="29" t="s">
        <v>96</v>
      </c>
      <c r="D1052" s="2" t="s">
        <v>7</v>
      </c>
      <c r="E1052" s="3">
        <v>1</v>
      </c>
    </row>
    <row r="1053" spans="1:5">
      <c r="A1053" s="29" t="s">
        <v>5094</v>
      </c>
      <c r="B1053" s="29">
        <v>20120558</v>
      </c>
      <c r="C1053" s="29" t="s">
        <v>96</v>
      </c>
      <c r="D1053" s="2" t="s">
        <v>7</v>
      </c>
      <c r="E1053" s="3">
        <v>1</v>
      </c>
    </row>
    <row r="1054" spans="1:5">
      <c r="A1054" s="29" t="s">
        <v>5094</v>
      </c>
      <c r="B1054" s="29">
        <v>20120559</v>
      </c>
      <c r="C1054" s="29" t="s">
        <v>96</v>
      </c>
      <c r="D1054" s="2" t="s">
        <v>7</v>
      </c>
      <c r="E1054" s="3">
        <v>1</v>
      </c>
    </row>
    <row r="1055" spans="1:5">
      <c r="A1055" s="29" t="s">
        <v>5094</v>
      </c>
      <c r="B1055" s="29">
        <v>20120561</v>
      </c>
      <c r="C1055" s="29" t="s">
        <v>96</v>
      </c>
      <c r="D1055" s="2" t="s">
        <v>7</v>
      </c>
      <c r="E1055" s="3">
        <v>1</v>
      </c>
    </row>
    <row r="1056" spans="1:5">
      <c r="A1056" s="29" t="s">
        <v>5094</v>
      </c>
      <c r="B1056" s="29">
        <v>20120564</v>
      </c>
      <c r="C1056" s="29" t="s">
        <v>96</v>
      </c>
      <c r="D1056" s="2" t="s">
        <v>7</v>
      </c>
      <c r="E1056" s="3">
        <v>1</v>
      </c>
    </row>
    <row r="1057" spans="1:5">
      <c r="A1057" s="29" t="s">
        <v>5094</v>
      </c>
      <c r="B1057" s="29">
        <v>20120567</v>
      </c>
      <c r="C1057" s="29" t="s">
        <v>96</v>
      </c>
      <c r="D1057" s="2" t="s">
        <v>7</v>
      </c>
      <c r="E1057" s="3">
        <v>1</v>
      </c>
    </row>
    <row r="1058" spans="1:5">
      <c r="A1058" s="29" t="s">
        <v>5094</v>
      </c>
      <c r="B1058" s="29">
        <v>20120569</v>
      </c>
      <c r="C1058" s="29" t="s">
        <v>96</v>
      </c>
      <c r="D1058" s="2" t="s">
        <v>7</v>
      </c>
      <c r="E1058" s="3">
        <v>1</v>
      </c>
    </row>
    <row r="1059" spans="1:5">
      <c r="A1059" s="29" t="s">
        <v>5094</v>
      </c>
      <c r="B1059" s="29">
        <v>20120570</v>
      </c>
      <c r="C1059" s="29" t="s">
        <v>96</v>
      </c>
      <c r="D1059" s="2" t="s">
        <v>7</v>
      </c>
      <c r="E1059" s="3">
        <v>1</v>
      </c>
    </row>
    <row r="1060" spans="1:5">
      <c r="A1060" s="29" t="s">
        <v>5094</v>
      </c>
      <c r="B1060" s="29">
        <v>20120571</v>
      </c>
      <c r="C1060" s="29" t="s">
        <v>96</v>
      </c>
      <c r="D1060" s="2" t="s">
        <v>7</v>
      </c>
      <c r="E1060" s="3">
        <v>1</v>
      </c>
    </row>
    <row r="1061" spans="1:5">
      <c r="A1061" s="29" t="s">
        <v>5094</v>
      </c>
      <c r="B1061" s="29">
        <v>20120572</v>
      </c>
      <c r="C1061" s="29" t="s">
        <v>96</v>
      </c>
      <c r="D1061" s="2" t="s">
        <v>7</v>
      </c>
      <c r="E1061" s="3">
        <v>1</v>
      </c>
    </row>
    <row r="1062" spans="1:5">
      <c r="A1062" s="29" t="s">
        <v>5094</v>
      </c>
      <c r="B1062" s="29">
        <v>20120573</v>
      </c>
      <c r="C1062" s="29" t="s">
        <v>96</v>
      </c>
      <c r="D1062" s="2" t="s">
        <v>7</v>
      </c>
      <c r="E1062" s="3">
        <v>1</v>
      </c>
    </row>
    <row r="1063" spans="1:5">
      <c r="A1063" s="29" t="s">
        <v>5094</v>
      </c>
      <c r="B1063" s="29">
        <v>20120576</v>
      </c>
      <c r="C1063" s="29" t="s">
        <v>96</v>
      </c>
      <c r="D1063" s="2" t="s">
        <v>7</v>
      </c>
      <c r="E1063" s="3">
        <v>1</v>
      </c>
    </row>
    <row r="1064" spans="1:5">
      <c r="A1064" s="29" t="s">
        <v>5094</v>
      </c>
      <c r="B1064" s="29">
        <v>20120577</v>
      </c>
      <c r="C1064" s="29" t="s">
        <v>96</v>
      </c>
      <c r="D1064" s="2" t="s">
        <v>7</v>
      </c>
      <c r="E1064" s="3">
        <v>1</v>
      </c>
    </row>
    <row r="1065" spans="1:5">
      <c r="A1065" s="29" t="s">
        <v>5094</v>
      </c>
      <c r="B1065" s="29">
        <v>20120580</v>
      </c>
      <c r="C1065" s="29" t="s">
        <v>96</v>
      </c>
      <c r="D1065" s="2" t="s">
        <v>7</v>
      </c>
      <c r="E1065" s="3">
        <v>1</v>
      </c>
    </row>
    <row r="1066" spans="1:5">
      <c r="A1066" s="29" t="s">
        <v>5094</v>
      </c>
      <c r="B1066" s="29">
        <v>20120581</v>
      </c>
      <c r="C1066" s="29" t="s">
        <v>96</v>
      </c>
      <c r="D1066" s="2" t="s">
        <v>7</v>
      </c>
      <c r="E1066" s="3">
        <v>1</v>
      </c>
    </row>
    <row r="1067" spans="1:5">
      <c r="A1067" s="29" t="s">
        <v>5094</v>
      </c>
      <c r="B1067" s="29">
        <v>20120583</v>
      </c>
      <c r="C1067" s="29" t="s">
        <v>96</v>
      </c>
      <c r="D1067" s="2" t="s">
        <v>7</v>
      </c>
      <c r="E1067" s="3">
        <v>1</v>
      </c>
    </row>
    <row r="1068" spans="1:5">
      <c r="A1068" s="29" t="s">
        <v>5094</v>
      </c>
      <c r="B1068" s="29">
        <v>20120585</v>
      </c>
      <c r="C1068" s="29" t="s">
        <v>96</v>
      </c>
      <c r="D1068" s="2" t="s">
        <v>7</v>
      </c>
      <c r="E1068" s="3">
        <v>1</v>
      </c>
    </row>
    <row r="1069" spans="1:5">
      <c r="A1069" s="29" t="s">
        <v>5094</v>
      </c>
      <c r="B1069" s="29">
        <v>20120586</v>
      </c>
      <c r="C1069" s="29" t="s">
        <v>96</v>
      </c>
      <c r="D1069" s="2" t="s">
        <v>7</v>
      </c>
      <c r="E1069" s="3">
        <v>1</v>
      </c>
    </row>
    <row r="1070" spans="1:5">
      <c r="A1070" s="29" t="s">
        <v>5094</v>
      </c>
      <c r="B1070" s="29">
        <v>20120587</v>
      </c>
      <c r="C1070" s="29" t="s">
        <v>96</v>
      </c>
      <c r="D1070" s="2" t="s">
        <v>7</v>
      </c>
      <c r="E1070" s="3">
        <v>1</v>
      </c>
    </row>
    <row r="1071" spans="1:5">
      <c r="A1071" s="29" t="s">
        <v>5094</v>
      </c>
      <c r="B1071" s="29">
        <v>20120588</v>
      </c>
      <c r="C1071" s="29" t="s">
        <v>96</v>
      </c>
      <c r="D1071" s="2" t="s">
        <v>7</v>
      </c>
      <c r="E1071" s="3">
        <v>1</v>
      </c>
    </row>
    <row r="1072" spans="1:5">
      <c r="A1072" s="29" t="s">
        <v>5094</v>
      </c>
      <c r="B1072" s="29">
        <v>20120589</v>
      </c>
      <c r="C1072" s="29" t="s">
        <v>96</v>
      </c>
      <c r="D1072" s="2" t="s">
        <v>7</v>
      </c>
      <c r="E1072" s="3">
        <v>1</v>
      </c>
    </row>
    <row r="1073" spans="1:5">
      <c r="A1073" s="29" t="s">
        <v>5094</v>
      </c>
      <c r="B1073" s="29">
        <v>20120590</v>
      </c>
      <c r="C1073" s="29" t="s">
        <v>96</v>
      </c>
      <c r="D1073" s="2" t="s">
        <v>7</v>
      </c>
      <c r="E1073" s="3">
        <v>1</v>
      </c>
    </row>
    <row r="1074" spans="1:5">
      <c r="A1074" s="29" t="s">
        <v>5094</v>
      </c>
      <c r="B1074" s="29">
        <v>20120591</v>
      </c>
      <c r="C1074" s="29" t="s">
        <v>96</v>
      </c>
      <c r="D1074" s="2" t="s">
        <v>7</v>
      </c>
      <c r="E1074" s="3">
        <v>1</v>
      </c>
    </row>
    <row r="1075" spans="1:5">
      <c r="A1075" s="29" t="s">
        <v>5094</v>
      </c>
      <c r="B1075" s="29">
        <v>20120592</v>
      </c>
      <c r="C1075" s="29" t="s">
        <v>96</v>
      </c>
      <c r="D1075" s="2" t="s">
        <v>7</v>
      </c>
      <c r="E1075" s="3">
        <v>1</v>
      </c>
    </row>
    <row r="1076" spans="1:5">
      <c r="A1076" s="29" t="s">
        <v>5094</v>
      </c>
      <c r="B1076" s="29">
        <v>20120593</v>
      </c>
      <c r="C1076" s="29" t="s">
        <v>96</v>
      </c>
      <c r="D1076" s="2" t="s">
        <v>7</v>
      </c>
      <c r="E1076" s="3">
        <v>1</v>
      </c>
    </row>
    <row r="1077" spans="1:5">
      <c r="A1077" s="29" t="s">
        <v>5094</v>
      </c>
      <c r="B1077" s="29">
        <v>20120594</v>
      </c>
      <c r="C1077" s="29" t="s">
        <v>96</v>
      </c>
      <c r="D1077" s="2" t="s">
        <v>7</v>
      </c>
      <c r="E1077" s="3">
        <v>1</v>
      </c>
    </row>
    <row r="1078" spans="1:5">
      <c r="A1078" s="29" t="s">
        <v>5094</v>
      </c>
      <c r="B1078" s="29">
        <v>20120595</v>
      </c>
      <c r="C1078" s="29" t="s">
        <v>96</v>
      </c>
      <c r="D1078" s="2" t="s">
        <v>7</v>
      </c>
      <c r="E1078" s="3">
        <v>1</v>
      </c>
    </row>
    <row r="1079" spans="1:5">
      <c r="A1079" s="29" t="s">
        <v>5094</v>
      </c>
      <c r="B1079" s="29">
        <v>20120596</v>
      </c>
      <c r="C1079" s="29" t="s">
        <v>96</v>
      </c>
      <c r="D1079" s="2" t="s">
        <v>7</v>
      </c>
      <c r="E1079" s="3">
        <v>1</v>
      </c>
    </row>
    <row r="1080" spans="1:5">
      <c r="A1080" s="29" t="s">
        <v>5094</v>
      </c>
      <c r="B1080" s="29">
        <v>20120597</v>
      </c>
      <c r="C1080" s="29" t="s">
        <v>96</v>
      </c>
      <c r="D1080" s="2" t="s">
        <v>7</v>
      </c>
      <c r="E1080" s="3">
        <v>1</v>
      </c>
    </row>
    <row r="1081" spans="1:5">
      <c r="A1081" s="29" t="s">
        <v>5094</v>
      </c>
      <c r="B1081" s="29">
        <v>20120598</v>
      </c>
      <c r="C1081" s="29" t="s">
        <v>96</v>
      </c>
      <c r="D1081" s="2" t="s">
        <v>7</v>
      </c>
      <c r="E1081" s="3">
        <v>1</v>
      </c>
    </row>
    <row r="1082" spans="1:5">
      <c r="A1082" s="29" t="s">
        <v>5094</v>
      </c>
      <c r="B1082" s="29">
        <v>20120599</v>
      </c>
      <c r="C1082" s="29" t="s">
        <v>96</v>
      </c>
      <c r="D1082" s="2" t="s">
        <v>7</v>
      </c>
      <c r="E1082" s="3">
        <v>1</v>
      </c>
    </row>
    <row r="1083" spans="1:5">
      <c r="A1083" s="29" t="s">
        <v>5094</v>
      </c>
      <c r="B1083" s="29">
        <v>20120600</v>
      </c>
      <c r="C1083" s="29" t="s">
        <v>96</v>
      </c>
      <c r="D1083" s="2" t="s">
        <v>7</v>
      </c>
      <c r="E1083" s="3">
        <v>1</v>
      </c>
    </row>
    <row r="1084" spans="1:5">
      <c r="A1084" s="29" t="s">
        <v>5094</v>
      </c>
      <c r="B1084" s="29">
        <v>20120601</v>
      </c>
      <c r="C1084" s="29" t="s">
        <v>96</v>
      </c>
      <c r="D1084" s="2" t="s">
        <v>7</v>
      </c>
      <c r="E1084" s="3">
        <v>1</v>
      </c>
    </row>
    <row r="1085" spans="1:5">
      <c r="A1085" s="29" t="s">
        <v>5094</v>
      </c>
      <c r="B1085" s="29">
        <v>20120721</v>
      </c>
      <c r="C1085" s="29" t="s">
        <v>96</v>
      </c>
      <c r="D1085" s="2" t="s">
        <v>7</v>
      </c>
      <c r="E1085" s="3">
        <v>1</v>
      </c>
    </row>
    <row r="1086" spans="1:5">
      <c r="A1086" s="29" t="s">
        <v>5094</v>
      </c>
      <c r="B1086" s="29">
        <v>20120725</v>
      </c>
      <c r="C1086" s="29" t="s">
        <v>96</v>
      </c>
      <c r="D1086" s="2" t="s">
        <v>7</v>
      </c>
      <c r="E1086" s="3">
        <v>1</v>
      </c>
    </row>
    <row r="1087" spans="1:5">
      <c r="A1087" s="29" t="s">
        <v>5094</v>
      </c>
      <c r="B1087" s="29">
        <v>20120727</v>
      </c>
      <c r="C1087" s="29" t="s">
        <v>96</v>
      </c>
      <c r="D1087" s="2" t="s">
        <v>7</v>
      </c>
      <c r="E1087" s="3">
        <v>1</v>
      </c>
    </row>
    <row r="1088" spans="1:5">
      <c r="A1088" s="29" t="s">
        <v>5094</v>
      </c>
      <c r="B1088" s="29">
        <v>20120728</v>
      </c>
      <c r="C1088" s="29" t="s">
        <v>96</v>
      </c>
      <c r="D1088" s="2" t="s">
        <v>7</v>
      </c>
      <c r="E1088" s="3">
        <v>1</v>
      </c>
    </row>
    <row r="1089" spans="1:5">
      <c r="A1089" s="29" t="s">
        <v>5094</v>
      </c>
      <c r="B1089" s="29">
        <v>20120729</v>
      </c>
      <c r="C1089" s="29" t="s">
        <v>96</v>
      </c>
      <c r="D1089" s="2" t="s">
        <v>7</v>
      </c>
      <c r="E1089" s="3">
        <v>1</v>
      </c>
    </row>
    <row r="1090" spans="1:5">
      <c r="A1090" s="29" t="s">
        <v>5094</v>
      </c>
      <c r="B1090" s="29">
        <v>20120730</v>
      </c>
      <c r="C1090" s="29" t="s">
        <v>96</v>
      </c>
      <c r="D1090" s="2" t="s">
        <v>7</v>
      </c>
      <c r="E1090" s="3">
        <v>1</v>
      </c>
    </row>
    <row r="1091" spans="1:5">
      <c r="A1091" s="29" t="s">
        <v>5094</v>
      </c>
      <c r="B1091" s="29">
        <v>20120731</v>
      </c>
      <c r="C1091" s="29" t="s">
        <v>96</v>
      </c>
      <c r="D1091" s="2" t="s">
        <v>7</v>
      </c>
      <c r="E1091" s="3">
        <v>1</v>
      </c>
    </row>
    <row r="1092" spans="1:5">
      <c r="A1092" s="29" t="s">
        <v>5094</v>
      </c>
      <c r="B1092" s="29">
        <v>20120732</v>
      </c>
      <c r="C1092" s="29" t="s">
        <v>96</v>
      </c>
      <c r="D1092" s="2" t="s">
        <v>7</v>
      </c>
      <c r="E1092" s="3">
        <v>1</v>
      </c>
    </row>
    <row r="1093" spans="1:5">
      <c r="A1093" s="29" t="s">
        <v>5094</v>
      </c>
      <c r="B1093" s="29">
        <v>20120733</v>
      </c>
      <c r="C1093" s="29" t="s">
        <v>96</v>
      </c>
      <c r="D1093" s="2" t="s">
        <v>7</v>
      </c>
      <c r="E1093" s="3">
        <v>1</v>
      </c>
    </row>
    <row r="1094" spans="1:5">
      <c r="A1094" s="29" t="s">
        <v>5094</v>
      </c>
      <c r="B1094" s="29">
        <v>20120734</v>
      </c>
      <c r="C1094" s="29" t="s">
        <v>96</v>
      </c>
      <c r="D1094" s="2" t="s">
        <v>7</v>
      </c>
      <c r="E1094" s="3">
        <v>1</v>
      </c>
    </row>
    <row r="1095" spans="1:5">
      <c r="A1095" s="29" t="s">
        <v>5094</v>
      </c>
      <c r="B1095" s="29">
        <v>20120735</v>
      </c>
      <c r="C1095" s="29" t="s">
        <v>96</v>
      </c>
      <c r="D1095" s="2" t="s">
        <v>7</v>
      </c>
      <c r="E1095" s="3">
        <v>1</v>
      </c>
    </row>
    <row r="1096" spans="1:5">
      <c r="A1096" s="29" t="s">
        <v>5094</v>
      </c>
      <c r="B1096" s="29">
        <v>20120736</v>
      </c>
      <c r="C1096" s="29" t="s">
        <v>96</v>
      </c>
      <c r="D1096" s="2" t="s">
        <v>7</v>
      </c>
      <c r="E1096" s="3">
        <v>1</v>
      </c>
    </row>
    <row r="1097" spans="1:5">
      <c r="A1097" s="29" t="s">
        <v>5094</v>
      </c>
      <c r="B1097" s="29">
        <v>20120738</v>
      </c>
      <c r="C1097" s="29" t="s">
        <v>96</v>
      </c>
      <c r="D1097" s="2" t="s">
        <v>7</v>
      </c>
      <c r="E1097" s="3">
        <v>1</v>
      </c>
    </row>
    <row r="1098" spans="1:5">
      <c r="A1098" s="29" t="s">
        <v>5094</v>
      </c>
      <c r="B1098" s="29">
        <v>20120740</v>
      </c>
      <c r="C1098" s="29" t="s">
        <v>96</v>
      </c>
      <c r="D1098" s="2" t="s">
        <v>7</v>
      </c>
      <c r="E1098" s="3">
        <v>1</v>
      </c>
    </row>
    <row r="1099" spans="1:5">
      <c r="A1099" s="29" t="s">
        <v>5094</v>
      </c>
      <c r="B1099" s="29">
        <v>20120741</v>
      </c>
      <c r="C1099" s="29" t="s">
        <v>96</v>
      </c>
      <c r="D1099" s="2" t="s">
        <v>7</v>
      </c>
      <c r="E1099" s="3">
        <v>1</v>
      </c>
    </row>
    <row r="1100" spans="1:5">
      <c r="A1100" s="29" t="s">
        <v>5094</v>
      </c>
      <c r="B1100" s="29">
        <v>20120742</v>
      </c>
      <c r="C1100" s="29" t="s">
        <v>96</v>
      </c>
      <c r="D1100" s="2" t="s">
        <v>7</v>
      </c>
      <c r="E1100" s="3">
        <v>1</v>
      </c>
    </row>
    <row r="1101" spans="1:5">
      <c r="A1101" s="29" t="s">
        <v>5094</v>
      </c>
      <c r="B1101" s="29">
        <v>20120743</v>
      </c>
      <c r="C1101" s="29" t="s">
        <v>96</v>
      </c>
      <c r="D1101" s="2" t="s">
        <v>7</v>
      </c>
      <c r="E1101" s="3">
        <v>1</v>
      </c>
    </row>
    <row r="1102" spans="1:5">
      <c r="A1102" s="29" t="s">
        <v>5094</v>
      </c>
      <c r="B1102" s="29">
        <v>20120744</v>
      </c>
      <c r="C1102" s="29" t="s">
        <v>96</v>
      </c>
      <c r="D1102" s="2" t="s">
        <v>7</v>
      </c>
      <c r="E1102" s="3">
        <v>1</v>
      </c>
    </row>
    <row r="1103" spans="1:5">
      <c r="A1103" s="29" t="s">
        <v>5094</v>
      </c>
      <c r="B1103" s="29">
        <v>20120747</v>
      </c>
      <c r="C1103" s="29" t="s">
        <v>96</v>
      </c>
      <c r="D1103" s="2" t="s">
        <v>7</v>
      </c>
      <c r="E1103" s="3">
        <v>1</v>
      </c>
    </row>
    <row r="1104" spans="1:5">
      <c r="A1104" s="29" t="s">
        <v>5094</v>
      </c>
      <c r="B1104" s="29">
        <v>20120753</v>
      </c>
      <c r="C1104" s="29" t="s">
        <v>96</v>
      </c>
      <c r="D1104" s="2" t="s">
        <v>7</v>
      </c>
      <c r="E1104" s="3">
        <v>1</v>
      </c>
    </row>
    <row r="1105" spans="1:5">
      <c r="A1105" s="29" t="s">
        <v>5094</v>
      </c>
      <c r="B1105" s="29">
        <v>20120755</v>
      </c>
      <c r="C1105" s="29" t="s">
        <v>96</v>
      </c>
      <c r="D1105" s="2" t="s">
        <v>7</v>
      </c>
      <c r="E1105" s="3">
        <v>1</v>
      </c>
    </row>
    <row r="1106" spans="1:5">
      <c r="A1106" s="29" t="s">
        <v>5094</v>
      </c>
      <c r="B1106" s="29">
        <v>20120756</v>
      </c>
      <c r="C1106" s="29" t="s">
        <v>96</v>
      </c>
      <c r="D1106" s="2" t="s">
        <v>7</v>
      </c>
      <c r="E1106" s="3">
        <v>1</v>
      </c>
    </row>
    <row r="1107" spans="1:5">
      <c r="A1107" s="29" t="s">
        <v>5094</v>
      </c>
      <c r="B1107" s="29">
        <v>20120758</v>
      </c>
      <c r="C1107" s="29" t="s">
        <v>96</v>
      </c>
      <c r="D1107" s="2" t="s">
        <v>7</v>
      </c>
      <c r="E1107" s="3">
        <v>1</v>
      </c>
    </row>
    <row r="1108" spans="1:5">
      <c r="A1108" s="29" t="s">
        <v>5094</v>
      </c>
      <c r="B1108" s="29">
        <v>20120762</v>
      </c>
      <c r="C1108" s="29" t="s">
        <v>96</v>
      </c>
      <c r="D1108" s="2" t="s">
        <v>7</v>
      </c>
      <c r="E1108" s="3">
        <v>1</v>
      </c>
    </row>
    <row r="1109" spans="1:5">
      <c r="A1109" s="29" t="s">
        <v>5094</v>
      </c>
      <c r="B1109" s="29">
        <v>20120763</v>
      </c>
      <c r="C1109" s="29" t="s">
        <v>96</v>
      </c>
      <c r="D1109" s="2" t="s">
        <v>7</v>
      </c>
      <c r="E1109" s="3">
        <v>1</v>
      </c>
    </row>
    <row r="1110" spans="1:5">
      <c r="A1110" s="29" t="s">
        <v>5094</v>
      </c>
      <c r="B1110" s="29">
        <v>20120764</v>
      </c>
      <c r="C1110" s="29" t="s">
        <v>96</v>
      </c>
      <c r="D1110" s="2" t="s">
        <v>7</v>
      </c>
      <c r="E1110" s="3">
        <v>1</v>
      </c>
    </row>
    <row r="1111" spans="1:5">
      <c r="A1111" s="29" t="s">
        <v>5094</v>
      </c>
      <c r="B1111" s="29">
        <v>20120765</v>
      </c>
      <c r="C1111" s="29" t="s">
        <v>96</v>
      </c>
      <c r="D1111" s="2" t="s">
        <v>7</v>
      </c>
      <c r="E1111" s="3">
        <v>1</v>
      </c>
    </row>
    <row r="1112" spans="1:5">
      <c r="A1112" s="29" t="s">
        <v>5094</v>
      </c>
      <c r="B1112" s="29">
        <v>20120767</v>
      </c>
      <c r="C1112" s="29" t="s">
        <v>96</v>
      </c>
      <c r="D1112" s="2" t="s">
        <v>7</v>
      </c>
      <c r="E1112" s="3">
        <v>1</v>
      </c>
    </row>
    <row r="1113" spans="1:5">
      <c r="A1113" s="29" t="s">
        <v>5094</v>
      </c>
      <c r="B1113" s="29">
        <v>20120768</v>
      </c>
      <c r="C1113" s="29" t="s">
        <v>96</v>
      </c>
      <c r="D1113" s="2" t="s">
        <v>7</v>
      </c>
      <c r="E1113" s="3">
        <v>1</v>
      </c>
    </row>
    <row r="1114" spans="1:5">
      <c r="A1114" s="29" t="s">
        <v>5094</v>
      </c>
      <c r="B1114" s="29">
        <v>20130449</v>
      </c>
      <c r="C1114" s="29" t="s">
        <v>96</v>
      </c>
      <c r="D1114" s="2" t="s">
        <v>7</v>
      </c>
      <c r="E1114" s="3">
        <v>1</v>
      </c>
    </row>
    <row r="1115" spans="1:5">
      <c r="A1115" s="29" t="s">
        <v>5094</v>
      </c>
      <c r="B1115" s="29">
        <v>20130450</v>
      </c>
      <c r="C1115" s="29" t="s">
        <v>96</v>
      </c>
      <c r="D1115" s="2" t="s">
        <v>7</v>
      </c>
      <c r="E1115" s="3">
        <v>1</v>
      </c>
    </row>
    <row r="1116" spans="1:5">
      <c r="A1116" s="29" t="s">
        <v>5094</v>
      </c>
      <c r="B1116" s="29">
        <v>20130451</v>
      </c>
      <c r="C1116" s="29" t="s">
        <v>96</v>
      </c>
      <c r="D1116" s="2" t="s">
        <v>7</v>
      </c>
      <c r="E1116" s="3">
        <v>1</v>
      </c>
    </row>
    <row r="1117" spans="1:5">
      <c r="A1117" s="29" t="s">
        <v>5094</v>
      </c>
      <c r="B1117" s="29">
        <v>20130452</v>
      </c>
      <c r="C1117" s="29" t="s">
        <v>96</v>
      </c>
      <c r="D1117" s="2" t="s">
        <v>7</v>
      </c>
      <c r="E1117" s="3">
        <v>1</v>
      </c>
    </row>
    <row r="1118" spans="1:5">
      <c r="A1118" s="29" t="s">
        <v>5094</v>
      </c>
      <c r="B1118" s="29">
        <v>20130453</v>
      </c>
      <c r="C1118" s="29" t="s">
        <v>96</v>
      </c>
      <c r="D1118" s="2" t="s">
        <v>7</v>
      </c>
      <c r="E1118" s="3">
        <v>1</v>
      </c>
    </row>
    <row r="1119" spans="1:5">
      <c r="A1119" s="29" t="s">
        <v>5094</v>
      </c>
      <c r="B1119" s="29">
        <v>20130454</v>
      </c>
      <c r="C1119" s="29" t="s">
        <v>96</v>
      </c>
      <c r="D1119" s="2" t="s">
        <v>7</v>
      </c>
      <c r="E1119" s="3">
        <v>1</v>
      </c>
    </row>
    <row r="1120" spans="1:5">
      <c r="A1120" s="29" t="s">
        <v>5094</v>
      </c>
      <c r="B1120" s="29">
        <v>20130455</v>
      </c>
      <c r="C1120" s="29" t="s">
        <v>96</v>
      </c>
      <c r="D1120" s="2" t="s">
        <v>7</v>
      </c>
      <c r="E1120" s="3">
        <v>1</v>
      </c>
    </row>
    <row r="1121" spans="1:5">
      <c r="A1121" s="29" t="s">
        <v>5094</v>
      </c>
      <c r="B1121" s="29">
        <v>20130456</v>
      </c>
      <c r="C1121" s="29" t="s">
        <v>96</v>
      </c>
      <c r="D1121" s="2" t="s">
        <v>7</v>
      </c>
      <c r="E1121" s="3">
        <v>1</v>
      </c>
    </row>
    <row r="1122" spans="1:5">
      <c r="A1122" s="29" t="s">
        <v>5094</v>
      </c>
      <c r="B1122" s="29">
        <v>20130457</v>
      </c>
      <c r="C1122" s="29" t="s">
        <v>96</v>
      </c>
      <c r="D1122" s="2" t="s">
        <v>7</v>
      </c>
      <c r="E1122" s="3">
        <v>1</v>
      </c>
    </row>
    <row r="1123" spans="1:5">
      <c r="A1123" s="29" t="s">
        <v>5094</v>
      </c>
      <c r="B1123" s="29">
        <v>20130458</v>
      </c>
      <c r="C1123" s="29" t="s">
        <v>96</v>
      </c>
      <c r="D1123" s="2" t="s">
        <v>7</v>
      </c>
      <c r="E1123" s="3">
        <v>1</v>
      </c>
    </row>
    <row r="1124" spans="1:5">
      <c r="A1124" s="29" t="s">
        <v>5094</v>
      </c>
      <c r="B1124" s="29">
        <v>20130459</v>
      </c>
      <c r="C1124" s="29" t="s">
        <v>96</v>
      </c>
      <c r="D1124" s="2" t="s">
        <v>7</v>
      </c>
      <c r="E1124" s="3">
        <v>1</v>
      </c>
    </row>
    <row r="1125" spans="1:5">
      <c r="A1125" s="29" t="s">
        <v>5094</v>
      </c>
      <c r="B1125" s="29">
        <v>20130460</v>
      </c>
      <c r="C1125" s="29" t="s">
        <v>96</v>
      </c>
      <c r="D1125" s="2" t="s">
        <v>7</v>
      </c>
      <c r="E1125" s="3">
        <v>1</v>
      </c>
    </row>
    <row r="1126" spans="1:5">
      <c r="A1126" s="29" t="s">
        <v>5094</v>
      </c>
      <c r="B1126" s="29">
        <v>20130461</v>
      </c>
      <c r="C1126" s="29" t="s">
        <v>96</v>
      </c>
      <c r="D1126" s="2" t="s">
        <v>7</v>
      </c>
      <c r="E1126" s="3">
        <v>1</v>
      </c>
    </row>
    <row r="1127" spans="1:5">
      <c r="A1127" s="29" t="s">
        <v>5094</v>
      </c>
      <c r="B1127" s="29">
        <v>20130462</v>
      </c>
      <c r="C1127" s="29" t="s">
        <v>96</v>
      </c>
      <c r="D1127" s="2" t="s">
        <v>7</v>
      </c>
      <c r="E1127" s="3">
        <v>1</v>
      </c>
    </row>
    <row r="1128" spans="1:5">
      <c r="A1128" s="29" t="s">
        <v>5094</v>
      </c>
      <c r="B1128" s="29">
        <v>20130463</v>
      </c>
      <c r="C1128" s="29" t="s">
        <v>96</v>
      </c>
      <c r="D1128" s="2" t="s">
        <v>7</v>
      </c>
      <c r="E1128" s="3">
        <v>1</v>
      </c>
    </row>
    <row r="1129" spans="1:5">
      <c r="A1129" s="29" t="s">
        <v>5094</v>
      </c>
      <c r="B1129" s="29">
        <v>20130464</v>
      </c>
      <c r="C1129" s="29" t="s">
        <v>96</v>
      </c>
      <c r="D1129" s="2" t="s">
        <v>7</v>
      </c>
      <c r="E1129" s="3">
        <v>1</v>
      </c>
    </row>
    <row r="1130" spans="1:5">
      <c r="A1130" s="29" t="s">
        <v>5094</v>
      </c>
      <c r="B1130" s="29">
        <v>20130465</v>
      </c>
      <c r="C1130" s="29" t="s">
        <v>96</v>
      </c>
      <c r="D1130" s="2" t="s">
        <v>7</v>
      </c>
      <c r="E1130" s="3">
        <v>1</v>
      </c>
    </row>
    <row r="1131" spans="1:5">
      <c r="A1131" s="29" t="s">
        <v>5094</v>
      </c>
      <c r="B1131" s="29">
        <v>20130466</v>
      </c>
      <c r="C1131" s="29" t="s">
        <v>96</v>
      </c>
      <c r="D1131" s="2" t="s">
        <v>7</v>
      </c>
      <c r="E1131" s="3">
        <v>1</v>
      </c>
    </row>
    <row r="1132" spans="1:5">
      <c r="A1132" s="29" t="s">
        <v>5094</v>
      </c>
      <c r="B1132" s="29">
        <v>20130467</v>
      </c>
      <c r="C1132" s="29" t="s">
        <v>96</v>
      </c>
      <c r="D1132" s="2" t="s">
        <v>7</v>
      </c>
      <c r="E1132" s="3">
        <v>1</v>
      </c>
    </row>
    <row r="1133" spans="1:5">
      <c r="A1133" s="29" t="s">
        <v>5094</v>
      </c>
      <c r="B1133" s="29">
        <v>20130468</v>
      </c>
      <c r="C1133" s="29" t="s">
        <v>96</v>
      </c>
      <c r="D1133" s="2" t="s">
        <v>7</v>
      </c>
      <c r="E1133" s="3">
        <v>1</v>
      </c>
    </row>
    <row r="1134" spans="1:5">
      <c r="A1134" s="29" t="s">
        <v>5094</v>
      </c>
      <c r="B1134" s="29">
        <v>20130469</v>
      </c>
      <c r="C1134" s="29" t="s">
        <v>96</v>
      </c>
      <c r="D1134" s="2" t="s">
        <v>7</v>
      </c>
      <c r="E1134" s="3">
        <v>1</v>
      </c>
    </row>
    <row r="1135" spans="1:5">
      <c r="A1135" s="29" t="s">
        <v>5094</v>
      </c>
      <c r="B1135" s="29">
        <v>20130470</v>
      </c>
      <c r="C1135" s="29" t="s">
        <v>96</v>
      </c>
      <c r="D1135" s="2" t="s">
        <v>7</v>
      </c>
      <c r="E1135" s="3">
        <v>1</v>
      </c>
    </row>
    <row r="1136" spans="1:5">
      <c r="A1136" s="29" t="s">
        <v>5094</v>
      </c>
      <c r="B1136" s="29">
        <v>20130471</v>
      </c>
      <c r="C1136" s="29" t="s">
        <v>96</v>
      </c>
      <c r="D1136" s="2" t="s">
        <v>7</v>
      </c>
      <c r="E1136" s="3">
        <v>1</v>
      </c>
    </row>
    <row r="1137" spans="1:5">
      <c r="A1137" s="29" t="s">
        <v>5094</v>
      </c>
      <c r="B1137" s="29">
        <v>20130472</v>
      </c>
      <c r="C1137" s="29" t="s">
        <v>96</v>
      </c>
      <c r="D1137" s="2" t="s">
        <v>7</v>
      </c>
      <c r="E1137" s="3">
        <v>1</v>
      </c>
    </row>
    <row r="1138" spans="1:5">
      <c r="A1138" s="29" t="s">
        <v>5094</v>
      </c>
      <c r="B1138" s="29">
        <v>20130473</v>
      </c>
      <c r="C1138" s="29" t="s">
        <v>96</v>
      </c>
      <c r="D1138" s="2" t="s">
        <v>7</v>
      </c>
      <c r="E1138" s="3">
        <v>1</v>
      </c>
    </row>
    <row r="1139" spans="1:5">
      <c r="A1139" s="29" t="s">
        <v>5094</v>
      </c>
      <c r="B1139" s="29">
        <v>20130474</v>
      </c>
      <c r="C1139" s="29" t="s">
        <v>96</v>
      </c>
      <c r="D1139" s="2" t="s">
        <v>7</v>
      </c>
      <c r="E1139" s="3">
        <v>1</v>
      </c>
    </row>
    <row r="1140" spans="1:5">
      <c r="A1140" s="29" t="s">
        <v>5094</v>
      </c>
      <c r="B1140" s="29">
        <v>20130475</v>
      </c>
      <c r="C1140" s="29" t="s">
        <v>96</v>
      </c>
      <c r="D1140" s="2" t="s">
        <v>7</v>
      </c>
      <c r="E1140" s="3">
        <v>1</v>
      </c>
    </row>
    <row r="1141" spans="1:5">
      <c r="A1141" s="29" t="s">
        <v>5094</v>
      </c>
      <c r="B1141" s="29">
        <v>20130476</v>
      </c>
      <c r="C1141" s="29" t="s">
        <v>96</v>
      </c>
      <c r="D1141" s="2" t="s">
        <v>7</v>
      </c>
      <c r="E1141" s="3">
        <v>1</v>
      </c>
    </row>
    <row r="1142" spans="1:5">
      <c r="A1142" s="29" t="s">
        <v>5094</v>
      </c>
      <c r="B1142" s="29">
        <v>20130477</v>
      </c>
      <c r="C1142" s="29" t="s">
        <v>96</v>
      </c>
      <c r="D1142" s="2" t="s">
        <v>7</v>
      </c>
      <c r="E1142" s="3">
        <v>1</v>
      </c>
    </row>
    <row r="1143" spans="1:5">
      <c r="A1143" s="29" t="s">
        <v>5094</v>
      </c>
      <c r="B1143" s="29">
        <v>20130478</v>
      </c>
      <c r="C1143" s="29" t="s">
        <v>96</v>
      </c>
      <c r="D1143" s="2" t="s">
        <v>7</v>
      </c>
      <c r="E1143" s="3">
        <v>1</v>
      </c>
    </row>
    <row r="1144" spans="1:5">
      <c r="A1144" s="29" t="s">
        <v>5094</v>
      </c>
      <c r="B1144" s="29">
        <v>20130479</v>
      </c>
      <c r="C1144" s="29" t="s">
        <v>96</v>
      </c>
      <c r="D1144" s="2" t="s">
        <v>7</v>
      </c>
      <c r="E1144" s="3">
        <v>1</v>
      </c>
    </row>
    <row r="1145" spans="1:5">
      <c r="A1145" s="29" t="s">
        <v>5094</v>
      </c>
      <c r="B1145" s="29">
        <v>20130480</v>
      </c>
      <c r="C1145" s="29" t="s">
        <v>96</v>
      </c>
      <c r="D1145" s="2" t="s">
        <v>7</v>
      </c>
      <c r="E1145" s="3">
        <v>1</v>
      </c>
    </row>
    <row r="1146" spans="1:5">
      <c r="A1146" s="29" t="s">
        <v>5094</v>
      </c>
      <c r="B1146" s="29">
        <v>20130481</v>
      </c>
      <c r="C1146" s="29" t="s">
        <v>96</v>
      </c>
      <c r="D1146" s="2" t="s">
        <v>7</v>
      </c>
      <c r="E1146" s="3">
        <v>1</v>
      </c>
    </row>
    <row r="1147" spans="1:5">
      <c r="A1147" s="29" t="s">
        <v>5094</v>
      </c>
      <c r="B1147" s="29">
        <v>20130482</v>
      </c>
      <c r="C1147" s="29" t="s">
        <v>96</v>
      </c>
      <c r="D1147" s="2" t="s">
        <v>7</v>
      </c>
      <c r="E1147" s="3">
        <v>1</v>
      </c>
    </row>
    <row r="1148" spans="1:5">
      <c r="A1148" s="29" t="s">
        <v>5094</v>
      </c>
      <c r="B1148" s="29">
        <v>20130483</v>
      </c>
      <c r="C1148" s="29" t="s">
        <v>96</v>
      </c>
      <c r="D1148" s="2" t="s">
        <v>7</v>
      </c>
      <c r="E1148" s="3">
        <v>1</v>
      </c>
    </row>
    <row r="1149" spans="1:5">
      <c r="A1149" s="29" t="s">
        <v>5094</v>
      </c>
      <c r="B1149" s="29">
        <v>20130484</v>
      </c>
      <c r="C1149" s="29" t="s">
        <v>96</v>
      </c>
      <c r="D1149" s="2" t="s">
        <v>7</v>
      </c>
      <c r="E1149" s="3">
        <v>1</v>
      </c>
    </row>
    <row r="1150" spans="1:5">
      <c r="A1150" s="29" t="s">
        <v>5094</v>
      </c>
      <c r="B1150" s="29">
        <v>20130486</v>
      </c>
      <c r="C1150" s="29" t="s">
        <v>96</v>
      </c>
      <c r="D1150" s="2" t="s">
        <v>7</v>
      </c>
      <c r="E1150" s="3">
        <v>1</v>
      </c>
    </row>
    <row r="1151" spans="1:5">
      <c r="A1151" s="29" t="s">
        <v>5094</v>
      </c>
      <c r="B1151" s="29">
        <v>20130487</v>
      </c>
      <c r="C1151" s="29" t="s">
        <v>96</v>
      </c>
      <c r="D1151" s="2" t="s">
        <v>7</v>
      </c>
      <c r="E1151" s="3">
        <v>1</v>
      </c>
    </row>
    <row r="1152" spans="1:5">
      <c r="A1152" s="29" t="s">
        <v>5094</v>
      </c>
      <c r="B1152" s="29">
        <v>20130488</v>
      </c>
      <c r="C1152" s="29" t="s">
        <v>96</v>
      </c>
      <c r="D1152" s="2" t="s">
        <v>7</v>
      </c>
      <c r="E1152" s="3">
        <v>1</v>
      </c>
    </row>
    <row r="1153" spans="1:5">
      <c r="A1153" s="29" t="s">
        <v>5094</v>
      </c>
      <c r="B1153" s="29">
        <v>20130489</v>
      </c>
      <c r="C1153" s="29" t="s">
        <v>96</v>
      </c>
      <c r="D1153" s="2" t="s">
        <v>7</v>
      </c>
      <c r="E1153" s="3">
        <v>1</v>
      </c>
    </row>
    <row r="1154" spans="1:5">
      <c r="A1154" s="29" t="s">
        <v>5094</v>
      </c>
      <c r="B1154" s="29">
        <v>20130490</v>
      </c>
      <c r="C1154" s="29" t="s">
        <v>96</v>
      </c>
      <c r="D1154" s="2" t="s">
        <v>7</v>
      </c>
      <c r="E1154" s="3">
        <v>1</v>
      </c>
    </row>
    <row r="1155" spans="1:5">
      <c r="A1155" s="29" t="s">
        <v>5094</v>
      </c>
      <c r="B1155" s="29">
        <v>20130491</v>
      </c>
      <c r="C1155" s="29" t="s">
        <v>96</v>
      </c>
      <c r="D1155" s="2" t="s">
        <v>7</v>
      </c>
      <c r="E1155" s="3">
        <v>1</v>
      </c>
    </row>
    <row r="1156" spans="1:5">
      <c r="A1156" s="29" t="s">
        <v>5094</v>
      </c>
      <c r="B1156" s="29">
        <v>20130492</v>
      </c>
      <c r="C1156" s="29" t="s">
        <v>96</v>
      </c>
      <c r="D1156" s="2" t="s">
        <v>7</v>
      </c>
      <c r="E1156" s="3">
        <v>1</v>
      </c>
    </row>
    <row r="1157" spans="1:5">
      <c r="A1157" s="29" t="s">
        <v>5094</v>
      </c>
      <c r="B1157" s="29">
        <v>20130493</v>
      </c>
      <c r="C1157" s="29" t="s">
        <v>96</v>
      </c>
      <c r="D1157" s="2" t="s">
        <v>7</v>
      </c>
      <c r="E1157" s="3">
        <v>1</v>
      </c>
    </row>
    <row r="1158" spans="1:5">
      <c r="A1158" s="29" t="s">
        <v>5094</v>
      </c>
      <c r="B1158" s="29">
        <v>20130494</v>
      </c>
      <c r="C1158" s="29" t="s">
        <v>96</v>
      </c>
      <c r="D1158" s="2" t="s">
        <v>7</v>
      </c>
      <c r="E1158" s="3">
        <v>1</v>
      </c>
    </row>
    <row r="1159" spans="1:5">
      <c r="A1159" s="29" t="s">
        <v>5094</v>
      </c>
      <c r="B1159" s="29">
        <v>20130495</v>
      </c>
      <c r="C1159" s="29" t="s">
        <v>96</v>
      </c>
      <c r="D1159" s="2" t="s">
        <v>7</v>
      </c>
      <c r="E1159" s="3">
        <v>1</v>
      </c>
    </row>
    <row r="1160" spans="1:5">
      <c r="A1160" s="29" t="s">
        <v>5094</v>
      </c>
      <c r="B1160" s="29">
        <v>20130496</v>
      </c>
      <c r="C1160" s="29" t="s">
        <v>96</v>
      </c>
      <c r="D1160" s="2" t="s">
        <v>7</v>
      </c>
      <c r="E1160" s="3">
        <v>1</v>
      </c>
    </row>
    <row r="1161" spans="1:5">
      <c r="A1161" s="29" t="s">
        <v>5094</v>
      </c>
      <c r="B1161" s="29">
        <v>20130497</v>
      </c>
      <c r="C1161" s="29" t="s">
        <v>96</v>
      </c>
      <c r="D1161" s="2" t="s">
        <v>7</v>
      </c>
      <c r="E1161" s="3">
        <v>1</v>
      </c>
    </row>
    <row r="1162" spans="1:5">
      <c r="A1162" s="29" t="s">
        <v>5094</v>
      </c>
      <c r="B1162" s="29">
        <v>20130498</v>
      </c>
      <c r="C1162" s="29" t="s">
        <v>96</v>
      </c>
      <c r="D1162" s="2" t="s">
        <v>7</v>
      </c>
      <c r="E1162" s="3">
        <v>1</v>
      </c>
    </row>
    <row r="1163" spans="1:5">
      <c r="A1163" s="29" t="s">
        <v>5094</v>
      </c>
      <c r="B1163" s="29">
        <v>20130499</v>
      </c>
      <c r="C1163" s="29" t="s">
        <v>96</v>
      </c>
      <c r="D1163" s="2" t="s">
        <v>7</v>
      </c>
      <c r="E1163" s="3">
        <v>1</v>
      </c>
    </row>
    <row r="1164" spans="1:5">
      <c r="A1164" s="29" t="s">
        <v>5094</v>
      </c>
      <c r="B1164" s="29">
        <v>20130500</v>
      </c>
      <c r="C1164" s="29" t="s">
        <v>96</v>
      </c>
      <c r="D1164" s="2" t="s">
        <v>7</v>
      </c>
      <c r="E1164" s="3">
        <v>1</v>
      </c>
    </row>
    <row r="1165" spans="1:5">
      <c r="A1165" s="29" t="s">
        <v>5094</v>
      </c>
      <c r="B1165" s="29">
        <v>20130501</v>
      </c>
      <c r="C1165" s="29" t="s">
        <v>96</v>
      </c>
      <c r="D1165" s="2" t="s">
        <v>7</v>
      </c>
      <c r="E1165" s="3">
        <v>1</v>
      </c>
    </row>
    <row r="1166" spans="1:5">
      <c r="A1166" s="29" t="s">
        <v>5094</v>
      </c>
      <c r="B1166" s="29">
        <v>20130502</v>
      </c>
      <c r="C1166" s="29" t="s">
        <v>96</v>
      </c>
      <c r="D1166" s="2" t="s">
        <v>7</v>
      </c>
      <c r="E1166" s="3">
        <v>1</v>
      </c>
    </row>
    <row r="1167" spans="1:5">
      <c r="A1167" s="29" t="s">
        <v>5094</v>
      </c>
      <c r="B1167" s="29">
        <v>20130503</v>
      </c>
      <c r="C1167" s="29" t="s">
        <v>96</v>
      </c>
      <c r="D1167" s="2" t="s">
        <v>7</v>
      </c>
      <c r="E1167" s="3">
        <v>1</v>
      </c>
    </row>
    <row r="1168" spans="1:5">
      <c r="A1168" s="29" t="s">
        <v>5094</v>
      </c>
      <c r="B1168" s="29">
        <v>20140809</v>
      </c>
      <c r="C1168" s="29" t="s">
        <v>96</v>
      </c>
      <c r="D1168" s="2" t="s">
        <v>7</v>
      </c>
      <c r="E1168" s="3">
        <v>1</v>
      </c>
    </row>
    <row r="1169" spans="1:5">
      <c r="A1169" s="29" t="s">
        <v>5094</v>
      </c>
      <c r="B1169" s="29">
        <v>20230831</v>
      </c>
      <c r="C1169" s="29" t="s">
        <v>123</v>
      </c>
      <c r="D1169" s="2" t="s">
        <v>7</v>
      </c>
      <c r="E1169" s="3">
        <v>1</v>
      </c>
    </row>
    <row r="1170" spans="1:5">
      <c r="A1170" s="29" t="s">
        <v>5094</v>
      </c>
      <c r="B1170" s="29">
        <v>20230832</v>
      </c>
      <c r="C1170" s="29" t="s">
        <v>123</v>
      </c>
      <c r="D1170" s="2" t="s">
        <v>7</v>
      </c>
      <c r="E1170" s="3">
        <v>1</v>
      </c>
    </row>
    <row r="1171" spans="1:5">
      <c r="A1171" s="29" t="s">
        <v>5094</v>
      </c>
      <c r="B1171" s="29">
        <v>20230833</v>
      </c>
      <c r="C1171" s="29" t="s">
        <v>123</v>
      </c>
      <c r="D1171" s="2" t="s">
        <v>7</v>
      </c>
      <c r="E1171" s="3">
        <v>1</v>
      </c>
    </row>
    <row r="1172" spans="1:5">
      <c r="A1172" s="29" t="s">
        <v>5094</v>
      </c>
      <c r="B1172" s="29">
        <v>20230834</v>
      </c>
      <c r="C1172" s="29" t="s">
        <v>123</v>
      </c>
      <c r="D1172" s="2" t="s">
        <v>7</v>
      </c>
      <c r="E1172" s="3">
        <v>1</v>
      </c>
    </row>
    <row r="1173" spans="1:5">
      <c r="A1173" s="29" t="s">
        <v>5094</v>
      </c>
      <c r="B1173" s="29">
        <v>20230835</v>
      </c>
      <c r="C1173" s="29" t="s">
        <v>123</v>
      </c>
      <c r="D1173" s="2" t="s">
        <v>7</v>
      </c>
      <c r="E1173" s="3">
        <v>1</v>
      </c>
    </row>
    <row r="1174" spans="1:5">
      <c r="A1174" s="29" t="s">
        <v>5094</v>
      </c>
      <c r="B1174" s="29">
        <v>20230836</v>
      </c>
      <c r="C1174" s="29" t="s">
        <v>123</v>
      </c>
      <c r="D1174" s="2" t="s">
        <v>7</v>
      </c>
      <c r="E1174" s="3">
        <v>1</v>
      </c>
    </row>
    <row r="1175" spans="1:5">
      <c r="A1175" s="29" t="s">
        <v>5094</v>
      </c>
      <c r="B1175" s="29">
        <v>20230837</v>
      </c>
      <c r="C1175" s="29" t="s">
        <v>123</v>
      </c>
      <c r="D1175" s="2" t="s">
        <v>7</v>
      </c>
      <c r="E1175" s="3">
        <v>1</v>
      </c>
    </row>
    <row r="1176" spans="1:5">
      <c r="A1176" s="29" t="s">
        <v>5094</v>
      </c>
      <c r="B1176" s="29">
        <v>20230838</v>
      </c>
      <c r="C1176" s="29" t="s">
        <v>123</v>
      </c>
      <c r="D1176" s="2" t="s">
        <v>7</v>
      </c>
      <c r="E1176" s="3">
        <v>1</v>
      </c>
    </row>
    <row r="1177" spans="1:5">
      <c r="A1177" s="29" t="s">
        <v>5094</v>
      </c>
      <c r="B1177" s="29">
        <v>20230839</v>
      </c>
      <c r="C1177" s="29" t="s">
        <v>123</v>
      </c>
      <c r="D1177" s="2" t="s">
        <v>7</v>
      </c>
      <c r="E1177" s="3">
        <v>1</v>
      </c>
    </row>
    <row r="1178" spans="1:5">
      <c r="A1178" s="29" t="s">
        <v>5094</v>
      </c>
      <c r="B1178" s="29">
        <v>20230840</v>
      </c>
      <c r="C1178" s="29" t="s">
        <v>123</v>
      </c>
      <c r="D1178" s="2" t="s">
        <v>7</v>
      </c>
      <c r="E1178" s="3">
        <v>1</v>
      </c>
    </row>
    <row r="1179" spans="1:5">
      <c r="A1179" s="29" t="s">
        <v>5094</v>
      </c>
      <c r="B1179" s="29">
        <v>20230841</v>
      </c>
      <c r="C1179" s="29" t="s">
        <v>123</v>
      </c>
      <c r="D1179" s="2" t="s">
        <v>7</v>
      </c>
      <c r="E1179" s="3">
        <v>1</v>
      </c>
    </row>
    <row r="1180" spans="1:5">
      <c r="A1180" s="29" t="s">
        <v>5094</v>
      </c>
      <c r="B1180" s="29">
        <v>20230842</v>
      </c>
      <c r="C1180" s="29" t="s">
        <v>123</v>
      </c>
      <c r="D1180" s="2" t="s">
        <v>7</v>
      </c>
      <c r="E1180" s="3">
        <v>1</v>
      </c>
    </row>
    <row r="1181" spans="1:5">
      <c r="A1181" s="29" t="s">
        <v>5094</v>
      </c>
      <c r="B1181" s="29">
        <v>20230843</v>
      </c>
      <c r="C1181" s="29" t="s">
        <v>123</v>
      </c>
      <c r="D1181" s="2" t="s">
        <v>7</v>
      </c>
      <c r="E1181" s="3">
        <v>1</v>
      </c>
    </row>
    <row r="1182" spans="1:5">
      <c r="A1182" s="29" t="s">
        <v>5094</v>
      </c>
      <c r="B1182" s="29">
        <v>20230844</v>
      </c>
      <c r="C1182" s="29" t="s">
        <v>123</v>
      </c>
      <c r="D1182" s="2" t="s">
        <v>7</v>
      </c>
      <c r="E1182" s="3">
        <v>1</v>
      </c>
    </row>
    <row r="1183" spans="1:5">
      <c r="A1183" s="29" t="s">
        <v>5094</v>
      </c>
      <c r="B1183" s="29">
        <v>20230845</v>
      </c>
      <c r="C1183" s="29" t="s">
        <v>123</v>
      </c>
      <c r="D1183" s="2" t="s">
        <v>7</v>
      </c>
      <c r="E1183" s="3">
        <v>1</v>
      </c>
    </row>
    <row r="1184" spans="1:5">
      <c r="A1184" s="29" t="s">
        <v>5094</v>
      </c>
      <c r="B1184" s="29">
        <v>20230846</v>
      </c>
      <c r="C1184" s="29" t="s">
        <v>123</v>
      </c>
      <c r="D1184" s="2" t="s">
        <v>7</v>
      </c>
      <c r="E1184" s="3">
        <v>1</v>
      </c>
    </row>
    <row r="1185" spans="1:5">
      <c r="A1185" s="29" t="s">
        <v>5094</v>
      </c>
      <c r="B1185" s="29">
        <v>20230847</v>
      </c>
      <c r="C1185" s="29" t="s">
        <v>123</v>
      </c>
      <c r="D1185" s="2" t="s">
        <v>7</v>
      </c>
      <c r="E1185" s="3">
        <v>1</v>
      </c>
    </row>
    <row r="1186" spans="1:5">
      <c r="A1186" s="29" t="s">
        <v>5094</v>
      </c>
      <c r="B1186" s="29">
        <v>20230848</v>
      </c>
      <c r="C1186" s="29" t="s">
        <v>123</v>
      </c>
      <c r="D1186" s="2" t="s">
        <v>7</v>
      </c>
      <c r="E1186" s="3">
        <v>1</v>
      </c>
    </row>
    <row r="1187" spans="1:5">
      <c r="A1187" s="29" t="s">
        <v>5094</v>
      </c>
      <c r="B1187" s="29">
        <v>20230849</v>
      </c>
      <c r="C1187" s="29" t="s">
        <v>123</v>
      </c>
      <c r="D1187" s="2" t="s">
        <v>7</v>
      </c>
      <c r="E1187" s="3">
        <v>1</v>
      </c>
    </row>
    <row r="1188" spans="1:5">
      <c r="A1188" s="29" t="s">
        <v>5094</v>
      </c>
      <c r="B1188" s="29">
        <v>20230850</v>
      </c>
      <c r="C1188" s="29" t="s">
        <v>123</v>
      </c>
      <c r="D1188" s="2" t="s">
        <v>7</v>
      </c>
      <c r="E1188" s="3">
        <v>1</v>
      </c>
    </row>
    <row r="1189" spans="1:5">
      <c r="A1189" s="29" t="s">
        <v>5094</v>
      </c>
      <c r="B1189" s="29">
        <v>20230851</v>
      </c>
      <c r="C1189" s="29" t="s">
        <v>123</v>
      </c>
      <c r="D1189" s="2" t="s">
        <v>7</v>
      </c>
      <c r="E1189" s="3">
        <v>1</v>
      </c>
    </row>
    <row r="1190" spans="1:5">
      <c r="A1190" s="29" t="s">
        <v>5094</v>
      </c>
      <c r="B1190" s="29">
        <v>20230852</v>
      </c>
      <c r="C1190" s="29" t="s">
        <v>123</v>
      </c>
      <c r="D1190" s="2" t="s">
        <v>7</v>
      </c>
      <c r="E1190" s="3">
        <v>1</v>
      </c>
    </row>
    <row r="1191" spans="1:5">
      <c r="A1191" s="29" t="s">
        <v>5094</v>
      </c>
      <c r="B1191" s="29">
        <v>20230853</v>
      </c>
      <c r="C1191" s="29" t="s">
        <v>123</v>
      </c>
      <c r="D1191" s="2" t="s">
        <v>7</v>
      </c>
      <c r="E1191" s="3">
        <v>1</v>
      </c>
    </row>
    <row r="1192" spans="1:5">
      <c r="A1192" s="29" t="s">
        <v>5094</v>
      </c>
      <c r="B1192" s="29">
        <v>20230854</v>
      </c>
      <c r="C1192" s="29" t="s">
        <v>123</v>
      </c>
      <c r="D1192" s="2" t="s">
        <v>7</v>
      </c>
      <c r="E1192" s="3">
        <v>1</v>
      </c>
    </row>
    <row r="1193" spans="1:5">
      <c r="A1193" s="29" t="s">
        <v>5094</v>
      </c>
      <c r="B1193" s="29">
        <v>20230864</v>
      </c>
      <c r="C1193" s="29" t="s">
        <v>123</v>
      </c>
      <c r="D1193" s="2" t="s">
        <v>7</v>
      </c>
      <c r="E1193" s="3">
        <v>1</v>
      </c>
    </row>
    <row r="1194" spans="1:5">
      <c r="A1194" s="29" t="s">
        <v>5094</v>
      </c>
      <c r="B1194" s="29">
        <v>20230865</v>
      </c>
      <c r="C1194" s="29" t="s">
        <v>123</v>
      </c>
      <c r="D1194" s="2" t="s">
        <v>7</v>
      </c>
      <c r="E1194" s="3">
        <v>1</v>
      </c>
    </row>
    <row r="1195" spans="1:5">
      <c r="A1195" s="29" t="s">
        <v>5094</v>
      </c>
      <c r="B1195" s="29">
        <v>20230866</v>
      </c>
      <c r="C1195" s="29" t="s">
        <v>123</v>
      </c>
      <c r="D1195" s="2" t="s">
        <v>7</v>
      </c>
      <c r="E1195" s="3">
        <v>1</v>
      </c>
    </row>
    <row r="1196" spans="1:5">
      <c r="A1196" s="29" t="s">
        <v>5094</v>
      </c>
      <c r="B1196" s="29">
        <v>20230867</v>
      </c>
      <c r="C1196" s="29" t="s">
        <v>123</v>
      </c>
      <c r="D1196" s="2" t="s">
        <v>7</v>
      </c>
      <c r="E1196" s="3">
        <v>1</v>
      </c>
    </row>
    <row r="1197" spans="1:5">
      <c r="A1197" s="29" t="s">
        <v>5094</v>
      </c>
      <c r="B1197" s="29">
        <v>20230868</v>
      </c>
      <c r="C1197" s="29" t="s">
        <v>123</v>
      </c>
      <c r="D1197" s="2" t="s">
        <v>7</v>
      </c>
      <c r="E1197" s="3">
        <v>1</v>
      </c>
    </row>
    <row r="1198" spans="1:5">
      <c r="A1198" s="29" t="s">
        <v>5094</v>
      </c>
      <c r="B1198" s="29">
        <v>20230869</v>
      </c>
      <c r="C1198" s="29" t="s">
        <v>123</v>
      </c>
      <c r="D1198" s="2" t="s">
        <v>7</v>
      </c>
      <c r="E1198" s="3">
        <v>1</v>
      </c>
    </row>
    <row r="1199" spans="1:5">
      <c r="A1199" s="29" t="s">
        <v>5094</v>
      </c>
      <c r="B1199" s="29">
        <v>20230870</v>
      </c>
      <c r="C1199" s="29" t="s">
        <v>123</v>
      </c>
      <c r="D1199" s="2" t="s">
        <v>7</v>
      </c>
      <c r="E1199" s="3">
        <v>1</v>
      </c>
    </row>
    <row r="1200" spans="1:5">
      <c r="A1200" s="29" t="s">
        <v>5094</v>
      </c>
      <c r="B1200" s="29">
        <v>20230871</v>
      </c>
      <c r="C1200" s="29" t="s">
        <v>123</v>
      </c>
      <c r="D1200" s="2" t="s">
        <v>7</v>
      </c>
      <c r="E1200" s="3">
        <v>1</v>
      </c>
    </row>
    <row r="1201" spans="1:5">
      <c r="A1201" s="29" t="s">
        <v>5094</v>
      </c>
      <c r="B1201" s="29">
        <v>20230872</v>
      </c>
      <c r="C1201" s="29" t="s">
        <v>123</v>
      </c>
      <c r="D1201" s="2" t="s">
        <v>7</v>
      </c>
      <c r="E1201" s="3">
        <v>1</v>
      </c>
    </row>
    <row r="1202" spans="1:5">
      <c r="A1202" s="29" t="s">
        <v>5094</v>
      </c>
      <c r="B1202" s="29">
        <v>20230873</v>
      </c>
      <c r="C1202" s="29" t="s">
        <v>123</v>
      </c>
      <c r="D1202" s="2" t="s">
        <v>7</v>
      </c>
      <c r="E1202" s="3">
        <v>1</v>
      </c>
    </row>
    <row r="1203" spans="1:5">
      <c r="A1203" s="29" t="s">
        <v>5094</v>
      </c>
      <c r="B1203" s="29">
        <v>20230874</v>
      </c>
      <c r="C1203" s="29" t="s">
        <v>123</v>
      </c>
      <c r="D1203" s="2" t="s">
        <v>7</v>
      </c>
      <c r="E1203" s="3">
        <v>1</v>
      </c>
    </row>
    <row r="1204" spans="1:5">
      <c r="A1204" s="29" t="s">
        <v>5094</v>
      </c>
      <c r="B1204" s="29">
        <v>20230875</v>
      </c>
      <c r="C1204" s="29" t="s">
        <v>123</v>
      </c>
      <c r="D1204" s="2" t="s">
        <v>7</v>
      </c>
      <c r="E1204" s="3">
        <v>1</v>
      </c>
    </row>
    <row r="1205" spans="1:5">
      <c r="A1205" s="29" t="s">
        <v>5094</v>
      </c>
      <c r="B1205" s="29">
        <v>20230876</v>
      </c>
      <c r="C1205" s="29" t="s">
        <v>123</v>
      </c>
      <c r="D1205" s="2" t="s">
        <v>7</v>
      </c>
      <c r="E1205" s="3">
        <v>1</v>
      </c>
    </row>
    <row r="1206" spans="1:5">
      <c r="A1206" s="29" t="s">
        <v>5094</v>
      </c>
      <c r="B1206" s="29">
        <v>20230877</v>
      </c>
      <c r="C1206" s="29" t="s">
        <v>123</v>
      </c>
      <c r="D1206" s="2" t="s">
        <v>7</v>
      </c>
      <c r="E1206" s="3">
        <v>1</v>
      </c>
    </row>
    <row r="1207" spans="1:5">
      <c r="A1207" s="29" t="s">
        <v>5094</v>
      </c>
      <c r="B1207" s="29">
        <v>20230878</v>
      </c>
      <c r="C1207" s="29" t="s">
        <v>123</v>
      </c>
      <c r="D1207" s="2" t="s">
        <v>7</v>
      </c>
      <c r="E1207" s="3">
        <v>1</v>
      </c>
    </row>
    <row r="1208" spans="1:5">
      <c r="A1208" s="29" t="s">
        <v>5094</v>
      </c>
      <c r="B1208" s="29">
        <v>20230879</v>
      </c>
      <c r="C1208" s="29" t="s">
        <v>123</v>
      </c>
      <c r="D1208" s="2" t="s">
        <v>7</v>
      </c>
      <c r="E1208" s="3">
        <v>1</v>
      </c>
    </row>
    <row r="1209" spans="1:5">
      <c r="A1209" s="29" t="s">
        <v>5094</v>
      </c>
      <c r="B1209" s="29">
        <v>20230880</v>
      </c>
      <c r="C1209" s="29" t="s">
        <v>123</v>
      </c>
      <c r="D1209" s="2" t="s">
        <v>7</v>
      </c>
      <c r="E1209" s="3">
        <v>1</v>
      </c>
    </row>
    <row r="1210" spans="1:5">
      <c r="A1210" s="29" t="s">
        <v>5094</v>
      </c>
      <c r="B1210" s="29">
        <v>20230881</v>
      </c>
      <c r="C1210" s="29" t="s">
        <v>123</v>
      </c>
      <c r="D1210" s="2" t="s">
        <v>7</v>
      </c>
      <c r="E1210" s="3">
        <v>1</v>
      </c>
    </row>
    <row r="1211" spans="1:5">
      <c r="A1211" s="29" t="s">
        <v>5094</v>
      </c>
      <c r="B1211" s="29">
        <v>20230882</v>
      </c>
      <c r="C1211" s="29" t="s">
        <v>123</v>
      </c>
      <c r="D1211" s="2" t="s">
        <v>7</v>
      </c>
      <c r="E1211" s="3">
        <v>1</v>
      </c>
    </row>
    <row r="1212" spans="1:5">
      <c r="A1212" s="29" t="s">
        <v>5094</v>
      </c>
      <c r="B1212" s="29">
        <v>20230883</v>
      </c>
      <c r="C1212" s="29" t="s">
        <v>123</v>
      </c>
      <c r="D1212" s="2" t="s">
        <v>7</v>
      </c>
      <c r="E1212" s="3">
        <v>1</v>
      </c>
    </row>
    <row r="1213" spans="1:5">
      <c r="A1213" s="29" t="s">
        <v>5094</v>
      </c>
      <c r="B1213" s="29">
        <v>20230884</v>
      </c>
      <c r="C1213" s="29" t="s">
        <v>123</v>
      </c>
      <c r="D1213" s="2" t="s">
        <v>7</v>
      </c>
      <c r="E1213" s="3">
        <v>1</v>
      </c>
    </row>
    <row r="1214" spans="1:5">
      <c r="A1214" s="29" t="s">
        <v>5094</v>
      </c>
      <c r="B1214" s="29">
        <v>20230885</v>
      </c>
      <c r="C1214" s="29" t="s">
        <v>123</v>
      </c>
      <c r="D1214" s="2" t="s">
        <v>7</v>
      </c>
      <c r="E1214" s="3">
        <v>1</v>
      </c>
    </row>
    <row r="1215" spans="1:5">
      <c r="A1215" s="29" t="s">
        <v>5094</v>
      </c>
      <c r="B1215" s="29">
        <v>20230886</v>
      </c>
      <c r="C1215" s="29" t="s">
        <v>123</v>
      </c>
      <c r="D1215" s="2" t="s">
        <v>7</v>
      </c>
      <c r="E1215" s="3">
        <v>1</v>
      </c>
    </row>
    <row r="1216" spans="1:5">
      <c r="A1216" s="29" t="s">
        <v>5094</v>
      </c>
      <c r="B1216" s="29">
        <v>20230887</v>
      </c>
      <c r="C1216" s="29" t="s">
        <v>123</v>
      </c>
      <c r="D1216" s="2" t="s">
        <v>7</v>
      </c>
      <c r="E1216" s="3">
        <v>1</v>
      </c>
    </row>
    <row r="1217" spans="1:5">
      <c r="A1217" s="29" t="s">
        <v>5094</v>
      </c>
      <c r="B1217" s="29">
        <v>20230888</v>
      </c>
      <c r="C1217" s="29" t="s">
        <v>123</v>
      </c>
      <c r="D1217" s="2" t="s">
        <v>7</v>
      </c>
      <c r="E1217" s="3">
        <v>1</v>
      </c>
    </row>
    <row r="1218" spans="1:5">
      <c r="A1218" s="29" t="s">
        <v>5094</v>
      </c>
      <c r="B1218" s="29">
        <v>20230889</v>
      </c>
      <c r="C1218" s="29" t="s">
        <v>123</v>
      </c>
      <c r="D1218" s="2" t="s">
        <v>7</v>
      </c>
      <c r="E1218" s="3">
        <v>1</v>
      </c>
    </row>
    <row r="1219" spans="1:5">
      <c r="A1219" s="29" t="s">
        <v>5094</v>
      </c>
      <c r="B1219" s="29">
        <v>20230890</v>
      </c>
      <c r="C1219" s="29" t="s">
        <v>123</v>
      </c>
      <c r="D1219" s="2" t="s">
        <v>7</v>
      </c>
      <c r="E1219" s="3">
        <v>1</v>
      </c>
    </row>
    <row r="1220" spans="1:5">
      <c r="A1220" s="29" t="s">
        <v>5094</v>
      </c>
      <c r="B1220" s="29">
        <v>20230891</v>
      </c>
      <c r="C1220" s="29" t="s">
        <v>123</v>
      </c>
      <c r="D1220" s="2" t="s">
        <v>7</v>
      </c>
      <c r="E1220" s="3">
        <v>1</v>
      </c>
    </row>
    <row r="1221" spans="1:5">
      <c r="A1221" s="29" t="s">
        <v>5094</v>
      </c>
      <c r="B1221" s="29">
        <v>20230892</v>
      </c>
      <c r="C1221" s="29" t="s">
        <v>123</v>
      </c>
      <c r="D1221" s="2" t="s">
        <v>7</v>
      </c>
      <c r="E1221" s="3">
        <v>1</v>
      </c>
    </row>
    <row r="1222" spans="1:5">
      <c r="A1222" s="29" t="s">
        <v>5094</v>
      </c>
      <c r="B1222" s="29">
        <v>20230893</v>
      </c>
      <c r="C1222" s="29" t="s">
        <v>123</v>
      </c>
      <c r="D1222" s="2" t="s">
        <v>7</v>
      </c>
      <c r="E1222" s="3">
        <v>1</v>
      </c>
    </row>
    <row r="1223" spans="1:5">
      <c r="A1223" s="29" t="s">
        <v>5094</v>
      </c>
      <c r="B1223" s="29">
        <v>20230894</v>
      </c>
      <c r="C1223" s="29" t="s">
        <v>123</v>
      </c>
      <c r="D1223" s="2" t="s">
        <v>7</v>
      </c>
      <c r="E1223" s="3">
        <v>1</v>
      </c>
    </row>
    <row r="1224" spans="1:5">
      <c r="A1224" s="29" t="s">
        <v>5094</v>
      </c>
      <c r="B1224" s="29">
        <v>20130862</v>
      </c>
      <c r="C1224" s="29" t="s">
        <v>772</v>
      </c>
      <c r="D1224" s="2" t="s">
        <v>7</v>
      </c>
      <c r="E1224" s="3">
        <v>1</v>
      </c>
    </row>
    <row r="1225" spans="1:5">
      <c r="A1225" s="29" t="s">
        <v>5094</v>
      </c>
      <c r="B1225" s="29">
        <v>20130872</v>
      </c>
      <c r="C1225" s="29" t="s">
        <v>96</v>
      </c>
      <c r="D1225" s="2" t="s">
        <v>7</v>
      </c>
      <c r="E1225" s="3">
        <v>1</v>
      </c>
    </row>
    <row r="1226" spans="1:5">
      <c r="A1226" s="29" t="s">
        <v>5094</v>
      </c>
      <c r="B1226" s="29"/>
      <c r="C1226" s="29" t="s">
        <v>234</v>
      </c>
      <c r="D1226" s="2" t="s">
        <v>7</v>
      </c>
      <c r="E1226" s="3">
        <v>1</v>
      </c>
    </row>
    <row r="1227" spans="1:5">
      <c r="A1227" s="29" t="s">
        <v>5094</v>
      </c>
      <c r="B1227" s="29"/>
      <c r="C1227" s="29" t="s">
        <v>234</v>
      </c>
      <c r="D1227" s="2" t="s">
        <v>7</v>
      </c>
      <c r="E1227" s="3">
        <v>1</v>
      </c>
    </row>
    <row r="1228" spans="1:5">
      <c r="A1228" s="29" t="s">
        <v>5094</v>
      </c>
      <c r="B1228" s="29"/>
      <c r="C1228" s="29" t="s">
        <v>234</v>
      </c>
      <c r="D1228" s="2" t="s">
        <v>7</v>
      </c>
      <c r="E1228" s="3">
        <v>1</v>
      </c>
    </row>
    <row r="1229" spans="1:5">
      <c r="A1229" s="29" t="s">
        <v>5094</v>
      </c>
      <c r="B1229" s="29"/>
      <c r="C1229" s="29" t="s">
        <v>234</v>
      </c>
      <c r="D1229" s="2" t="s">
        <v>7</v>
      </c>
      <c r="E1229" s="3">
        <v>1</v>
      </c>
    </row>
  </sheetData>
  <autoFilter xmlns:etc="http://www.wps.cn/officeDocument/2017/etCustomData" ref="A1:C1229" etc:filterBottomFollowUsedRange="0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1"/>
  <sheetViews>
    <sheetView zoomScale="90" zoomScaleNormal="90" workbookViewId="0">
      <selection activeCell="C723" sqref="C723"/>
    </sheetView>
  </sheetViews>
  <sheetFormatPr defaultColWidth="8.725" defaultRowHeight="13.5" outlineLevelCol="4"/>
  <cols>
    <col min="1" max="1" width="19.5416666666667" style="18" customWidth="1"/>
    <col min="2" max="2" width="11.8166666666667" style="18" customWidth="1"/>
    <col min="3" max="3" width="29.3666666666667" style="18" customWidth="1"/>
    <col min="4" max="16384" width="8.725" style="18"/>
  </cols>
  <sheetData>
    <row r="1" ht="18.75" spans="1:5">
      <c r="A1" s="17" t="s">
        <v>0</v>
      </c>
      <c r="B1" s="17" t="s">
        <v>1</v>
      </c>
      <c r="C1" s="17" t="s">
        <v>2</v>
      </c>
      <c r="D1" s="2" t="s">
        <v>3</v>
      </c>
      <c r="E1" s="2" t="s">
        <v>4</v>
      </c>
    </row>
    <row r="2" spans="1:5">
      <c r="A2" s="19" t="s">
        <v>5097</v>
      </c>
      <c r="B2" s="19">
        <v>20070096</v>
      </c>
      <c r="C2" s="19" t="s">
        <v>811</v>
      </c>
      <c r="D2" s="2" t="s">
        <v>7</v>
      </c>
      <c r="E2" s="3">
        <v>1</v>
      </c>
    </row>
    <row r="3" spans="1:5">
      <c r="A3" s="19" t="s">
        <v>5097</v>
      </c>
      <c r="B3" s="19">
        <v>20070097</v>
      </c>
      <c r="C3" s="19" t="s">
        <v>811</v>
      </c>
      <c r="D3" s="2" t="s">
        <v>7</v>
      </c>
      <c r="E3" s="3">
        <v>1</v>
      </c>
    </row>
    <row r="4" spans="1:5">
      <c r="A4" s="19" t="s">
        <v>5097</v>
      </c>
      <c r="B4" s="19">
        <v>20121439</v>
      </c>
      <c r="C4" s="19" t="s">
        <v>96</v>
      </c>
      <c r="D4" s="2" t="s">
        <v>7</v>
      </c>
      <c r="E4" s="3">
        <v>1</v>
      </c>
    </row>
    <row r="5" spans="1:5">
      <c r="A5" s="19" t="s">
        <v>5097</v>
      </c>
      <c r="B5" s="19">
        <v>20170406</v>
      </c>
      <c r="C5" s="19" t="s">
        <v>811</v>
      </c>
      <c r="D5" s="2" t="s">
        <v>7</v>
      </c>
      <c r="E5" s="3">
        <v>1</v>
      </c>
    </row>
    <row r="6" spans="1:5">
      <c r="A6" s="19" t="s">
        <v>5097</v>
      </c>
      <c r="B6" s="19">
        <v>20170520</v>
      </c>
      <c r="C6" s="19" t="s">
        <v>96</v>
      </c>
      <c r="D6" s="2" t="s">
        <v>7</v>
      </c>
      <c r="E6" s="3">
        <v>1</v>
      </c>
    </row>
    <row r="7" spans="1:5">
      <c r="A7" s="19" t="s">
        <v>5097</v>
      </c>
      <c r="B7" s="19">
        <v>20190724</v>
      </c>
      <c r="C7" s="19" t="s">
        <v>5060</v>
      </c>
      <c r="D7" s="2" t="s">
        <v>7</v>
      </c>
      <c r="E7" s="3">
        <v>1</v>
      </c>
    </row>
    <row r="8" spans="1:5">
      <c r="A8" s="19" t="s">
        <v>5097</v>
      </c>
      <c r="B8" s="19">
        <v>20190780</v>
      </c>
      <c r="C8" s="19" t="s">
        <v>96</v>
      </c>
      <c r="D8" s="2" t="s">
        <v>7</v>
      </c>
      <c r="E8" s="3">
        <v>1</v>
      </c>
    </row>
    <row r="9" spans="1:5">
      <c r="A9" s="19" t="s">
        <v>5097</v>
      </c>
      <c r="B9" s="19">
        <v>20221443</v>
      </c>
      <c r="C9" s="19" t="s">
        <v>120</v>
      </c>
      <c r="D9" s="2" t="s">
        <v>7</v>
      </c>
      <c r="E9" s="3">
        <v>1</v>
      </c>
    </row>
    <row r="10" spans="1:5">
      <c r="A10" s="19" t="s">
        <v>5097</v>
      </c>
      <c r="B10" s="19">
        <v>20221444</v>
      </c>
      <c r="C10" s="19" t="s">
        <v>120</v>
      </c>
      <c r="D10" s="2" t="s">
        <v>7</v>
      </c>
      <c r="E10" s="3">
        <v>1</v>
      </c>
    </row>
    <row r="11" spans="1:5">
      <c r="A11" s="19" t="s">
        <v>5097</v>
      </c>
      <c r="B11" s="19">
        <v>20221445</v>
      </c>
      <c r="C11" s="19" t="s">
        <v>120</v>
      </c>
      <c r="D11" s="2" t="s">
        <v>7</v>
      </c>
      <c r="E11" s="3">
        <v>1</v>
      </c>
    </row>
    <row r="12" spans="1:5">
      <c r="A12" s="19" t="s">
        <v>5097</v>
      </c>
      <c r="B12" s="19">
        <v>20221446</v>
      </c>
      <c r="C12" s="19" t="s">
        <v>120</v>
      </c>
      <c r="D12" s="2" t="s">
        <v>7</v>
      </c>
      <c r="E12" s="3">
        <v>1</v>
      </c>
    </row>
    <row r="13" spans="1:5">
      <c r="A13" s="19" t="s">
        <v>5097</v>
      </c>
      <c r="B13" s="19">
        <v>20221447</v>
      </c>
      <c r="C13" s="19" t="s">
        <v>120</v>
      </c>
      <c r="D13" s="2" t="s">
        <v>7</v>
      </c>
      <c r="E13" s="3">
        <v>1</v>
      </c>
    </row>
    <row r="14" spans="1:5">
      <c r="A14" s="19" t="s">
        <v>5097</v>
      </c>
      <c r="B14" s="19">
        <v>20231160</v>
      </c>
      <c r="C14" s="19" t="s">
        <v>96</v>
      </c>
      <c r="D14" s="2" t="s">
        <v>7</v>
      </c>
      <c r="E14" s="3">
        <v>1</v>
      </c>
    </row>
    <row r="15" spans="1:5">
      <c r="A15" s="19" t="s">
        <v>5097</v>
      </c>
      <c r="B15" s="19">
        <v>20231161</v>
      </c>
      <c r="C15" s="19" t="s">
        <v>96</v>
      </c>
      <c r="D15" s="2" t="s">
        <v>7</v>
      </c>
      <c r="E15" s="3">
        <v>1</v>
      </c>
    </row>
    <row r="16" spans="1:5">
      <c r="A16" s="19" t="s">
        <v>5097</v>
      </c>
      <c r="B16" s="19">
        <v>20231162</v>
      </c>
      <c r="C16" s="19" t="s">
        <v>96</v>
      </c>
      <c r="D16" s="2" t="s">
        <v>7</v>
      </c>
      <c r="E16" s="3">
        <v>1</v>
      </c>
    </row>
    <row r="17" spans="1:5">
      <c r="A17" s="19" t="s">
        <v>5097</v>
      </c>
      <c r="B17" s="19">
        <v>20231163</v>
      </c>
      <c r="C17" s="19" t="s">
        <v>96</v>
      </c>
      <c r="D17" s="2" t="s">
        <v>7</v>
      </c>
      <c r="E17" s="3">
        <v>1</v>
      </c>
    </row>
    <row r="18" spans="1:5">
      <c r="A18" s="19" t="s">
        <v>5097</v>
      </c>
      <c r="B18" s="19">
        <v>20180206</v>
      </c>
      <c r="C18" s="19" t="s">
        <v>96</v>
      </c>
      <c r="D18" s="2" t="s">
        <v>7</v>
      </c>
      <c r="E18" s="3">
        <v>1</v>
      </c>
    </row>
    <row r="19" spans="1:5">
      <c r="A19" s="19" t="s">
        <v>5097</v>
      </c>
      <c r="B19" s="19">
        <v>20190583</v>
      </c>
      <c r="C19" s="19" t="s">
        <v>811</v>
      </c>
      <c r="D19" s="2" t="s">
        <v>7</v>
      </c>
      <c r="E19" s="3">
        <v>1</v>
      </c>
    </row>
    <row r="20" spans="1:5">
      <c r="A20" s="19" t="s">
        <v>5097</v>
      </c>
      <c r="B20" s="19">
        <v>20230119</v>
      </c>
      <c r="C20" s="19" t="s">
        <v>96</v>
      </c>
      <c r="D20" s="2" t="s">
        <v>7</v>
      </c>
      <c r="E20" s="3">
        <v>1</v>
      </c>
    </row>
    <row r="21" spans="1:5">
      <c r="A21" s="19" t="s">
        <v>5097</v>
      </c>
      <c r="B21" s="20">
        <v>20100549</v>
      </c>
      <c r="C21" s="20" t="s">
        <v>96</v>
      </c>
      <c r="D21" s="2" t="s">
        <v>7</v>
      </c>
      <c r="E21" s="3">
        <v>1</v>
      </c>
    </row>
    <row r="22" spans="1:5">
      <c r="A22" s="19" t="s">
        <v>5097</v>
      </c>
      <c r="B22" s="20">
        <v>20151742</v>
      </c>
      <c r="C22" s="20" t="s">
        <v>811</v>
      </c>
      <c r="D22" s="2" t="s">
        <v>7</v>
      </c>
      <c r="E22" s="3">
        <v>1</v>
      </c>
    </row>
    <row r="23" spans="1:5">
      <c r="A23" s="19" t="s">
        <v>5097</v>
      </c>
      <c r="B23" s="20">
        <v>20170517</v>
      </c>
      <c r="C23" s="20" t="s">
        <v>96</v>
      </c>
      <c r="D23" s="2" t="s">
        <v>7</v>
      </c>
      <c r="E23" s="3">
        <v>1</v>
      </c>
    </row>
    <row r="24" spans="1:5">
      <c r="A24" s="19" t="s">
        <v>5097</v>
      </c>
      <c r="B24" s="20">
        <v>20180210</v>
      </c>
      <c r="C24" s="20" t="s">
        <v>811</v>
      </c>
      <c r="D24" s="2" t="s">
        <v>7</v>
      </c>
      <c r="E24" s="3">
        <v>1</v>
      </c>
    </row>
    <row r="25" spans="1:5">
      <c r="A25" s="19" t="s">
        <v>5097</v>
      </c>
      <c r="B25" s="20">
        <v>20052386</v>
      </c>
      <c r="C25" s="20" t="s">
        <v>49</v>
      </c>
      <c r="D25" s="2" t="s">
        <v>7</v>
      </c>
      <c r="E25" s="3">
        <v>1</v>
      </c>
    </row>
    <row r="26" spans="1:5">
      <c r="A26" s="19" t="s">
        <v>5097</v>
      </c>
      <c r="B26" s="21">
        <v>20100040</v>
      </c>
      <c r="C26" s="21" t="s">
        <v>811</v>
      </c>
      <c r="D26" s="2" t="s">
        <v>7</v>
      </c>
      <c r="E26" s="3">
        <v>1</v>
      </c>
    </row>
    <row r="27" spans="1:5">
      <c r="A27" s="19" t="s">
        <v>5097</v>
      </c>
      <c r="B27" s="20">
        <v>20100816</v>
      </c>
      <c r="C27" s="20" t="s">
        <v>811</v>
      </c>
      <c r="D27" s="2" t="s">
        <v>7</v>
      </c>
      <c r="E27" s="3">
        <v>1</v>
      </c>
    </row>
    <row r="28" spans="1:5">
      <c r="A28" s="19" t="s">
        <v>5097</v>
      </c>
      <c r="B28" s="20">
        <v>20180736</v>
      </c>
      <c r="C28" s="20" t="s">
        <v>96</v>
      </c>
      <c r="D28" s="2" t="s">
        <v>7</v>
      </c>
      <c r="E28" s="3">
        <v>1</v>
      </c>
    </row>
    <row r="29" spans="1:5">
      <c r="A29" s="19" t="s">
        <v>5097</v>
      </c>
      <c r="B29" s="20">
        <v>20231125</v>
      </c>
      <c r="C29" s="20" t="s">
        <v>5098</v>
      </c>
      <c r="D29" s="2" t="s">
        <v>7</v>
      </c>
      <c r="E29" s="3">
        <v>1</v>
      </c>
    </row>
    <row r="30" spans="1:5">
      <c r="A30" s="19" t="s">
        <v>5097</v>
      </c>
      <c r="B30" s="20">
        <v>20231134</v>
      </c>
      <c r="C30" s="20" t="s">
        <v>5098</v>
      </c>
      <c r="D30" s="2" t="s">
        <v>7</v>
      </c>
      <c r="E30" s="3">
        <v>1</v>
      </c>
    </row>
    <row r="31" spans="1:5">
      <c r="A31" s="19" t="s">
        <v>5097</v>
      </c>
      <c r="B31" s="20">
        <v>20090080</v>
      </c>
      <c r="C31" s="20" t="s">
        <v>5060</v>
      </c>
      <c r="D31" s="2" t="s">
        <v>7</v>
      </c>
      <c r="E31" s="3">
        <v>1</v>
      </c>
    </row>
    <row r="32" spans="1:5">
      <c r="A32" s="19" t="s">
        <v>5097</v>
      </c>
      <c r="B32" s="20">
        <v>20190769</v>
      </c>
      <c r="C32" s="20" t="s">
        <v>96</v>
      </c>
      <c r="D32" s="2" t="s">
        <v>7</v>
      </c>
      <c r="E32" s="3">
        <v>1</v>
      </c>
    </row>
    <row r="33" spans="1:5">
      <c r="A33" s="19" t="s">
        <v>5097</v>
      </c>
      <c r="B33" s="20">
        <v>20100821</v>
      </c>
      <c r="C33" s="20" t="s">
        <v>811</v>
      </c>
      <c r="D33" s="2" t="s">
        <v>7</v>
      </c>
      <c r="E33" s="3">
        <v>1</v>
      </c>
    </row>
    <row r="34" spans="1:5">
      <c r="A34" s="19" t="s">
        <v>5097</v>
      </c>
      <c r="B34" s="20">
        <v>20170518</v>
      </c>
      <c r="C34" s="20" t="s">
        <v>96</v>
      </c>
      <c r="D34" s="2" t="s">
        <v>7</v>
      </c>
      <c r="E34" s="3">
        <v>1</v>
      </c>
    </row>
    <row r="35" spans="1:5">
      <c r="A35" s="19" t="s">
        <v>5097</v>
      </c>
      <c r="B35" s="19">
        <v>20080054</v>
      </c>
      <c r="C35" s="19" t="s">
        <v>811</v>
      </c>
      <c r="D35" s="2" t="s">
        <v>7</v>
      </c>
      <c r="E35" s="3">
        <v>1</v>
      </c>
    </row>
    <row r="36" spans="1:5">
      <c r="A36" s="19" t="s">
        <v>5097</v>
      </c>
      <c r="B36" s="19">
        <v>20100550</v>
      </c>
      <c r="C36" s="19" t="s">
        <v>96</v>
      </c>
      <c r="D36" s="2" t="s">
        <v>7</v>
      </c>
      <c r="E36" s="3">
        <v>1</v>
      </c>
    </row>
    <row r="37" spans="1:5">
      <c r="A37" s="19" t="s">
        <v>5097</v>
      </c>
      <c r="B37" s="19">
        <v>20160523</v>
      </c>
      <c r="C37" s="19" t="s">
        <v>96</v>
      </c>
      <c r="D37" s="2" t="s">
        <v>7</v>
      </c>
      <c r="E37" s="3">
        <v>1</v>
      </c>
    </row>
    <row r="38" spans="1:5">
      <c r="A38" s="19" t="s">
        <v>5097</v>
      </c>
      <c r="B38" s="19">
        <v>20160524</v>
      </c>
      <c r="C38" s="19" t="s">
        <v>96</v>
      </c>
      <c r="D38" s="2" t="s">
        <v>7</v>
      </c>
      <c r="E38" s="3">
        <v>1</v>
      </c>
    </row>
    <row r="39" spans="1:5">
      <c r="A39" s="19" t="s">
        <v>5097</v>
      </c>
      <c r="B39" s="19">
        <v>20170405</v>
      </c>
      <c r="C39" s="19" t="s">
        <v>811</v>
      </c>
      <c r="D39" s="2" t="s">
        <v>7</v>
      </c>
      <c r="E39" s="3">
        <v>1</v>
      </c>
    </row>
    <row r="40" spans="1:5">
      <c r="A40" s="19" t="s">
        <v>5097</v>
      </c>
      <c r="B40" s="19">
        <v>20180354</v>
      </c>
      <c r="C40" s="19" t="s">
        <v>811</v>
      </c>
      <c r="D40" s="2" t="s">
        <v>7</v>
      </c>
      <c r="E40" s="3">
        <v>1</v>
      </c>
    </row>
    <row r="41" spans="1:5">
      <c r="A41" s="19" t="s">
        <v>5097</v>
      </c>
      <c r="B41" s="19">
        <v>20240020</v>
      </c>
      <c r="C41" s="19" t="s">
        <v>811</v>
      </c>
      <c r="D41" s="2" t="s">
        <v>7</v>
      </c>
      <c r="E41" s="3">
        <v>1</v>
      </c>
    </row>
    <row r="42" spans="1:5">
      <c r="A42" s="19" t="s">
        <v>5097</v>
      </c>
      <c r="B42" s="19">
        <v>20100042</v>
      </c>
      <c r="C42" s="19" t="s">
        <v>811</v>
      </c>
      <c r="D42" s="2" t="s">
        <v>7</v>
      </c>
      <c r="E42" s="3">
        <v>1</v>
      </c>
    </row>
    <row r="43" spans="1:5">
      <c r="A43" s="19" t="s">
        <v>5097</v>
      </c>
      <c r="B43" s="19">
        <v>20151640</v>
      </c>
      <c r="C43" s="19" t="s">
        <v>3360</v>
      </c>
      <c r="D43" s="2" t="s">
        <v>7</v>
      </c>
      <c r="E43" s="3">
        <v>1</v>
      </c>
    </row>
    <row r="44" spans="1:5">
      <c r="A44" s="19" t="s">
        <v>5097</v>
      </c>
      <c r="B44" s="19">
        <v>20151641</v>
      </c>
      <c r="C44" s="19" t="s">
        <v>5099</v>
      </c>
      <c r="D44" s="2" t="s">
        <v>7</v>
      </c>
      <c r="E44" s="3">
        <v>1</v>
      </c>
    </row>
    <row r="45" spans="1:5">
      <c r="A45" s="19" t="s">
        <v>5097</v>
      </c>
      <c r="B45" s="19">
        <v>20160522</v>
      </c>
      <c r="C45" s="19" t="s">
        <v>96</v>
      </c>
      <c r="D45" s="2" t="s">
        <v>7</v>
      </c>
      <c r="E45" s="3">
        <v>1</v>
      </c>
    </row>
    <row r="46" spans="1:5">
      <c r="A46" s="19" t="s">
        <v>5097</v>
      </c>
      <c r="B46" s="19">
        <v>20170404</v>
      </c>
      <c r="C46" s="19" t="s">
        <v>811</v>
      </c>
      <c r="D46" s="2" t="s">
        <v>7</v>
      </c>
      <c r="E46" s="3">
        <v>1</v>
      </c>
    </row>
    <row r="47" spans="1:5">
      <c r="A47" s="19" t="s">
        <v>5097</v>
      </c>
      <c r="B47" s="19">
        <v>20170434</v>
      </c>
      <c r="C47" s="19" t="s">
        <v>330</v>
      </c>
      <c r="D47" s="2" t="s">
        <v>7</v>
      </c>
      <c r="E47" s="3">
        <v>1</v>
      </c>
    </row>
    <row r="48" spans="1:5">
      <c r="A48" s="19" t="s">
        <v>5097</v>
      </c>
      <c r="B48" s="19">
        <v>20170435</v>
      </c>
      <c r="C48" s="19" t="s">
        <v>330</v>
      </c>
      <c r="D48" s="2" t="s">
        <v>7</v>
      </c>
      <c r="E48" s="3">
        <v>1</v>
      </c>
    </row>
    <row r="49" spans="1:5">
      <c r="A49" s="19" t="s">
        <v>5097</v>
      </c>
      <c r="B49" s="19">
        <v>20170436</v>
      </c>
      <c r="C49" s="19" t="s">
        <v>330</v>
      </c>
      <c r="D49" s="2" t="s">
        <v>7</v>
      </c>
      <c r="E49" s="3">
        <v>1</v>
      </c>
    </row>
    <row r="50" spans="1:5">
      <c r="A50" s="19" t="s">
        <v>5097</v>
      </c>
      <c r="B50" s="19">
        <v>20170521</v>
      </c>
      <c r="C50" s="19" t="s">
        <v>96</v>
      </c>
      <c r="D50" s="2" t="s">
        <v>7</v>
      </c>
      <c r="E50" s="3">
        <v>1</v>
      </c>
    </row>
    <row r="51" spans="1:5">
      <c r="A51" s="19" t="s">
        <v>5097</v>
      </c>
      <c r="B51" s="19">
        <v>20210245</v>
      </c>
      <c r="C51" s="19" t="s">
        <v>5100</v>
      </c>
      <c r="D51" s="2" t="s">
        <v>7</v>
      </c>
      <c r="E51" s="3">
        <v>1</v>
      </c>
    </row>
    <row r="52" spans="1:5">
      <c r="A52" s="19" t="s">
        <v>5097</v>
      </c>
      <c r="B52" s="19">
        <v>20220849</v>
      </c>
      <c r="C52" s="19" t="s">
        <v>811</v>
      </c>
      <c r="D52" s="2" t="s">
        <v>7</v>
      </c>
      <c r="E52" s="3">
        <v>1</v>
      </c>
    </row>
    <row r="53" spans="1:5">
      <c r="A53" s="19" t="s">
        <v>5097</v>
      </c>
      <c r="B53" s="19">
        <v>20231133</v>
      </c>
      <c r="C53" s="19" t="s">
        <v>5098</v>
      </c>
      <c r="D53" s="2" t="s">
        <v>7</v>
      </c>
      <c r="E53" s="3">
        <v>1</v>
      </c>
    </row>
    <row r="54" spans="1:5">
      <c r="A54" s="19" t="s">
        <v>5097</v>
      </c>
      <c r="B54" s="19">
        <v>20151923</v>
      </c>
      <c r="C54" s="19" t="s">
        <v>903</v>
      </c>
      <c r="D54" s="2" t="s">
        <v>7</v>
      </c>
      <c r="E54" s="3">
        <v>1</v>
      </c>
    </row>
    <row r="55" spans="1:5">
      <c r="A55" s="19" t="s">
        <v>5097</v>
      </c>
      <c r="B55" s="19">
        <v>20070078</v>
      </c>
      <c r="C55" s="19" t="s">
        <v>96</v>
      </c>
      <c r="D55" s="2" t="s">
        <v>7</v>
      </c>
      <c r="E55" s="3">
        <v>1</v>
      </c>
    </row>
    <row r="56" spans="1:5">
      <c r="A56" s="19" t="s">
        <v>5097</v>
      </c>
      <c r="B56" s="19">
        <v>20070080</v>
      </c>
      <c r="C56" s="19" t="s">
        <v>96</v>
      </c>
      <c r="D56" s="2" t="s">
        <v>7</v>
      </c>
      <c r="E56" s="3">
        <v>1</v>
      </c>
    </row>
    <row r="57" spans="1:5">
      <c r="A57" s="19" t="s">
        <v>5097</v>
      </c>
      <c r="B57" s="19">
        <v>20090751</v>
      </c>
      <c r="C57" s="19" t="s">
        <v>811</v>
      </c>
      <c r="D57" s="2" t="s">
        <v>7</v>
      </c>
      <c r="E57" s="3">
        <v>1</v>
      </c>
    </row>
    <row r="58" spans="1:5">
      <c r="A58" s="19" t="s">
        <v>5097</v>
      </c>
      <c r="B58" s="19">
        <v>20120798</v>
      </c>
      <c r="C58" s="19" t="s">
        <v>811</v>
      </c>
      <c r="D58" s="2" t="s">
        <v>7</v>
      </c>
      <c r="E58" s="3">
        <v>1</v>
      </c>
    </row>
    <row r="59" spans="1:5">
      <c r="A59" s="19" t="s">
        <v>5097</v>
      </c>
      <c r="B59" s="19">
        <v>20130733</v>
      </c>
      <c r="C59" s="19" t="s">
        <v>96</v>
      </c>
      <c r="D59" s="2" t="s">
        <v>7</v>
      </c>
      <c r="E59" s="3">
        <v>1</v>
      </c>
    </row>
    <row r="60" spans="1:5">
      <c r="A60" s="19" t="s">
        <v>5097</v>
      </c>
      <c r="B60" s="19">
        <v>20130734</v>
      </c>
      <c r="C60" s="19" t="s">
        <v>811</v>
      </c>
      <c r="D60" s="2" t="s">
        <v>7</v>
      </c>
      <c r="E60" s="3">
        <v>1</v>
      </c>
    </row>
    <row r="61" spans="1:5">
      <c r="A61" s="19" t="s">
        <v>5097</v>
      </c>
      <c r="B61" s="19">
        <v>20141044</v>
      </c>
      <c r="C61" s="19" t="s">
        <v>96</v>
      </c>
      <c r="D61" s="2" t="s">
        <v>7</v>
      </c>
      <c r="E61" s="3">
        <v>1</v>
      </c>
    </row>
    <row r="62" spans="1:5">
      <c r="A62" s="19" t="s">
        <v>5097</v>
      </c>
      <c r="B62" s="19">
        <v>20141047</v>
      </c>
      <c r="C62" s="19" t="s">
        <v>96</v>
      </c>
      <c r="D62" s="2" t="s">
        <v>7</v>
      </c>
      <c r="E62" s="3">
        <v>1</v>
      </c>
    </row>
    <row r="63" spans="1:5">
      <c r="A63" s="19" t="s">
        <v>5097</v>
      </c>
      <c r="B63" s="19">
        <v>20151332</v>
      </c>
      <c r="C63" s="19" t="s">
        <v>5101</v>
      </c>
      <c r="D63" s="2" t="s">
        <v>7</v>
      </c>
      <c r="E63" s="3">
        <v>1</v>
      </c>
    </row>
    <row r="64" spans="1:5">
      <c r="A64" s="19" t="s">
        <v>5097</v>
      </c>
      <c r="B64" s="19">
        <v>20151363</v>
      </c>
      <c r="C64" s="19" t="s">
        <v>811</v>
      </c>
      <c r="D64" s="2" t="s">
        <v>7</v>
      </c>
      <c r="E64" s="3">
        <v>1</v>
      </c>
    </row>
    <row r="65" spans="1:5">
      <c r="A65" s="19" t="s">
        <v>5097</v>
      </c>
      <c r="B65" s="19">
        <v>20160526</v>
      </c>
      <c r="C65" s="19" t="s">
        <v>96</v>
      </c>
      <c r="D65" s="2" t="s">
        <v>7</v>
      </c>
      <c r="E65" s="3">
        <v>1</v>
      </c>
    </row>
    <row r="66" spans="1:5">
      <c r="A66" s="19" t="s">
        <v>5097</v>
      </c>
      <c r="B66" s="19">
        <v>20170519</v>
      </c>
      <c r="C66" s="19" t="s">
        <v>96</v>
      </c>
      <c r="D66" s="2" t="s">
        <v>7</v>
      </c>
      <c r="E66" s="3">
        <v>1</v>
      </c>
    </row>
    <row r="67" spans="1:5">
      <c r="A67" s="19" t="s">
        <v>5097</v>
      </c>
      <c r="B67" s="19">
        <v>20180737</v>
      </c>
      <c r="C67" s="19" t="s">
        <v>96</v>
      </c>
      <c r="D67" s="2" t="s">
        <v>7</v>
      </c>
      <c r="E67" s="3">
        <v>1</v>
      </c>
    </row>
    <row r="68" spans="1:5">
      <c r="A68" s="19" t="s">
        <v>5097</v>
      </c>
      <c r="B68" s="19">
        <v>20220171</v>
      </c>
      <c r="C68" s="19" t="s">
        <v>5102</v>
      </c>
      <c r="D68" s="2" t="s">
        <v>7</v>
      </c>
      <c r="E68" s="3">
        <v>1</v>
      </c>
    </row>
    <row r="69" spans="1:5">
      <c r="A69" s="19" t="s">
        <v>5097</v>
      </c>
      <c r="B69" s="19">
        <v>20220573</v>
      </c>
      <c r="C69" s="19" t="s">
        <v>96</v>
      </c>
      <c r="D69" s="2" t="s">
        <v>7</v>
      </c>
      <c r="E69" s="3">
        <v>1</v>
      </c>
    </row>
    <row r="70" spans="1:5">
      <c r="A70" s="19" t="s">
        <v>5097</v>
      </c>
      <c r="B70" s="19">
        <v>20231126</v>
      </c>
      <c r="C70" s="19" t="s">
        <v>5098</v>
      </c>
      <c r="D70" s="2" t="s">
        <v>7</v>
      </c>
      <c r="E70" s="3">
        <v>1</v>
      </c>
    </row>
    <row r="71" spans="1:5">
      <c r="A71" s="19" t="s">
        <v>5097</v>
      </c>
      <c r="B71" s="19">
        <v>20230427</v>
      </c>
      <c r="C71" s="19" t="s">
        <v>123</v>
      </c>
      <c r="D71" s="2" t="s">
        <v>7</v>
      </c>
      <c r="E71" s="3">
        <v>1</v>
      </c>
    </row>
    <row r="72" spans="1:5">
      <c r="A72" s="19" t="s">
        <v>5097</v>
      </c>
      <c r="B72" s="19">
        <v>20201144</v>
      </c>
      <c r="C72" s="19" t="s">
        <v>2650</v>
      </c>
      <c r="D72" s="2" t="s">
        <v>7</v>
      </c>
      <c r="E72" s="3">
        <v>1</v>
      </c>
    </row>
    <row r="73" spans="1:5">
      <c r="A73" s="19" t="s">
        <v>5097</v>
      </c>
      <c r="B73" s="19">
        <v>20210306</v>
      </c>
      <c r="C73" s="19" t="s">
        <v>5103</v>
      </c>
      <c r="D73" s="2" t="s">
        <v>7</v>
      </c>
      <c r="E73" s="3">
        <v>1</v>
      </c>
    </row>
    <row r="74" spans="1:5">
      <c r="A74" s="19" t="s">
        <v>5097</v>
      </c>
      <c r="B74" s="19">
        <v>20100817</v>
      </c>
      <c r="C74" s="19" t="s">
        <v>811</v>
      </c>
      <c r="D74" s="2" t="s">
        <v>7</v>
      </c>
      <c r="E74" s="3">
        <v>1</v>
      </c>
    </row>
    <row r="75" spans="1:5">
      <c r="A75" s="19" t="s">
        <v>5097</v>
      </c>
      <c r="B75" s="19">
        <v>20160463</v>
      </c>
      <c r="C75" s="19" t="s">
        <v>903</v>
      </c>
      <c r="D75" s="2" t="s">
        <v>7</v>
      </c>
      <c r="E75" s="3">
        <v>1</v>
      </c>
    </row>
    <row r="76" spans="1:5">
      <c r="A76" s="19" t="s">
        <v>5097</v>
      </c>
      <c r="B76" s="19">
        <v>20190833</v>
      </c>
      <c r="C76" s="19" t="s">
        <v>5104</v>
      </c>
      <c r="D76" s="2" t="s">
        <v>7</v>
      </c>
      <c r="E76" s="3">
        <v>1</v>
      </c>
    </row>
    <row r="77" spans="1:5">
      <c r="A77" s="19" t="s">
        <v>5097</v>
      </c>
      <c r="B77" s="19">
        <v>20190446</v>
      </c>
      <c r="C77" s="19" t="s">
        <v>77</v>
      </c>
      <c r="D77" s="2" t="s">
        <v>7</v>
      </c>
      <c r="E77" s="3">
        <v>1</v>
      </c>
    </row>
    <row r="78" spans="1:5">
      <c r="A78" s="19" t="s">
        <v>5097</v>
      </c>
      <c r="B78" s="19">
        <v>20210248</v>
      </c>
      <c r="C78" s="19" t="s">
        <v>5105</v>
      </c>
      <c r="D78" s="2" t="s">
        <v>7</v>
      </c>
      <c r="E78" s="3">
        <v>1</v>
      </c>
    </row>
    <row r="79" spans="1:5">
      <c r="A79" s="19" t="s">
        <v>5097</v>
      </c>
      <c r="B79" s="19">
        <v>20210249</v>
      </c>
      <c r="C79" s="19" t="s">
        <v>5105</v>
      </c>
      <c r="D79" s="2" t="s">
        <v>7</v>
      </c>
      <c r="E79" s="3">
        <v>1</v>
      </c>
    </row>
    <row r="80" spans="1:5">
      <c r="A80" s="19" t="s">
        <v>5097</v>
      </c>
      <c r="B80" s="19">
        <v>20210250</v>
      </c>
      <c r="C80" s="19" t="s">
        <v>5105</v>
      </c>
      <c r="D80" s="2" t="s">
        <v>7</v>
      </c>
      <c r="E80" s="3">
        <v>1</v>
      </c>
    </row>
    <row r="81" spans="1:5">
      <c r="A81" s="19" t="s">
        <v>5097</v>
      </c>
      <c r="B81" s="19">
        <v>20210782</v>
      </c>
      <c r="C81" s="19" t="s">
        <v>35</v>
      </c>
      <c r="D81" s="2" t="s">
        <v>7</v>
      </c>
      <c r="E81" s="3">
        <v>1</v>
      </c>
    </row>
    <row r="82" spans="1:5">
      <c r="A82" s="19" t="s">
        <v>5097</v>
      </c>
      <c r="B82" s="19">
        <v>20210783</v>
      </c>
      <c r="C82" s="19" t="s">
        <v>35</v>
      </c>
      <c r="D82" s="2" t="s">
        <v>7</v>
      </c>
      <c r="E82" s="3">
        <v>1</v>
      </c>
    </row>
    <row r="83" spans="1:5">
      <c r="A83" s="19" t="s">
        <v>5097</v>
      </c>
      <c r="B83" s="19">
        <v>20210784</v>
      </c>
      <c r="C83" s="19" t="s">
        <v>235</v>
      </c>
      <c r="D83" s="2" t="s">
        <v>7</v>
      </c>
      <c r="E83" s="3">
        <v>1</v>
      </c>
    </row>
    <row r="84" spans="1:5">
      <c r="A84" s="19" t="s">
        <v>5097</v>
      </c>
      <c r="B84" s="19">
        <v>20210785</v>
      </c>
      <c r="C84" s="19" t="s">
        <v>5106</v>
      </c>
      <c r="D84" s="2" t="s">
        <v>7</v>
      </c>
      <c r="E84" s="3">
        <v>1</v>
      </c>
    </row>
    <row r="85" spans="1:5">
      <c r="A85" s="19" t="s">
        <v>5097</v>
      </c>
      <c r="B85" s="19">
        <v>20210786</v>
      </c>
      <c r="C85" s="19" t="s">
        <v>38</v>
      </c>
      <c r="D85" s="2" t="s">
        <v>7</v>
      </c>
      <c r="E85" s="3">
        <v>1</v>
      </c>
    </row>
    <row r="86" spans="1:5">
      <c r="A86" s="19" t="s">
        <v>5097</v>
      </c>
      <c r="B86" s="19">
        <v>20210787</v>
      </c>
      <c r="C86" s="19" t="s">
        <v>330</v>
      </c>
      <c r="D86" s="2" t="s">
        <v>7</v>
      </c>
      <c r="E86" s="3">
        <v>1</v>
      </c>
    </row>
    <row r="87" spans="1:5">
      <c r="A87" s="19" t="s">
        <v>5097</v>
      </c>
      <c r="B87" s="19">
        <v>20210788</v>
      </c>
      <c r="C87" s="19" t="s">
        <v>330</v>
      </c>
      <c r="D87" s="2" t="s">
        <v>7</v>
      </c>
      <c r="E87" s="3">
        <v>1</v>
      </c>
    </row>
    <row r="88" spans="1:5">
      <c r="A88" s="19" t="s">
        <v>5097</v>
      </c>
      <c r="B88" s="19">
        <v>20210789</v>
      </c>
      <c r="C88" s="19" t="s">
        <v>362</v>
      </c>
      <c r="D88" s="2" t="s">
        <v>7</v>
      </c>
      <c r="E88" s="3">
        <v>1</v>
      </c>
    </row>
    <row r="89" spans="1:5">
      <c r="A89" s="19" t="s">
        <v>5097</v>
      </c>
      <c r="B89" s="19">
        <v>20221213</v>
      </c>
      <c r="C89" s="19" t="s">
        <v>5107</v>
      </c>
      <c r="D89" s="2" t="s">
        <v>7</v>
      </c>
      <c r="E89" s="3">
        <v>1</v>
      </c>
    </row>
    <row r="90" spans="1:5">
      <c r="A90" s="19" t="s">
        <v>5097</v>
      </c>
      <c r="B90" s="19">
        <v>20121102</v>
      </c>
      <c r="C90" s="19" t="s">
        <v>96</v>
      </c>
      <c r="D90" s="2" t="s">
        <v>7</v>
      </c>
      <c r="E90" s="3">
        <v>1</v>
      </c>
    </row>
    <row r="91" spans="1:5">
      <c r="A91" s="19" t="s">
        <v>5097</v>
      </c>
      <c r="B91" s="19">
        <v>20180974</v>
      </c>
      <c r="C91" s="19" t="s">
        <v>493</v>
      </c>
      <c r="D91" s="2" t="s">
        <v>7</v>
      </c>
      <c r="E91" s="3">
        <v>1</v>
      </c>
    </row>
    <row r="92" spans="1:5">
      <c r="A92" s="19" t="s">
        <v>5097</v>
      </c>
      <c r="B92" s="19">
        <v>20180975</v>
      </c>
      <c r="C92" s="19" t="s">
        <v>493</v>
      </c>
      <c r="D92" s="2" t="s">
        <v>7</v>
      </c>
      <c r="E92" s="3">
        <v>1</v>
      </c>
    </row>
    <row r="93" spans="1:5">
      <c r="A93" s="19" t="s">
        <v>5097</v>
      </c>
      <c r="B93" s="19">
        <v>20180976</v>
      </c>
      <c r="C93" s="19" t="s">
        <v>914</v>
      </c>
      <c r="D93" s="2" t="s">
        <v>7</v>
      </c>
      <c r="E93" s="3">
        <v>1</v>
      </c>
    </row>
    <row r="94" spans="1:5">
      <c r="A94" s="19" t="s">
        <v>5097</v>
      </c>
      <c r="B94" s="19">
        <v>20180977</v>
      </c>
      <c r="C94" s="19" t="s">
        <v>5108</v>
      </c>
      <c r="D94" s="2" t="s">
        <v>7</v>
      </c>
      <c r="E94" s="3">
        <v>1</v>
      </c>
    </row>
    <row r="95" spans="1:5">
      <c r="A95" s="19" t="s">
        <v>5097</v>
      </c>
      <c r="B95" s="19">
        <v>20180978</v>
      </c>
      <c r="C95" s="19" t="s">
        <v>5109</v>
      </c>
      <c r="D95" s="2" t="s">
        <v>7</v>
      </c>
      <c r="E95" s="3">
        <v>1</v>
      </c>
    </row>
    <row r="96" spans="1:5">
      <c r="A96" s="19" t="s">
        <v>5097</v>
      </c>
      <c r="B96" s="19">
        <v>20180979</v>
      </c>
      <c r="C96" s="19" t="s">
        <v>3212</v>
      </c>
      <c r="D96" s="2" t="s">
        <v>7</v>
      </c>
      <c r="E96" s="3">
        <v>1</v>
      </c>
    </row>
    <row r="97" spans="1:5">
      <c r="A97" s="19" t="s">
        <v>5097</v>
      </c>
      <c r="B97" s="19">
        <v>20180980</v>
      </c>
      <c r="C97" s="19" t="s">
        <v>3212</v>
      </c>
      <c r="D97" s="2" t="s">
        <v>7</v>
      </c>
      <c r="E97" s="3">
        <v>1</v>
      </c>
    </row>
    <row r="98" spans="1:5">
      <c r="A98" s="19" t="s">
        <v>5097</v>
      </c>
      <c r="B98" s="19">
        <v>20180981</v>
      </c>
      <c r="C98" s="19" t="s">
        <v>3212</v>
      </c>
      <c r="D98" s="2" t="s">
        <v>7</v>
      </c>
      <c r="E98" s="3">
        <v>1</v>
      </c>
    </row>
    <row r="99" spans="1:5">
      <c r="A99" s="19" t="s">
        <v>5097</v>
      </c>
      <c r="B99" s="19">
        <v>20180982</v>
      </c>
      <c r="C99" s="19" t="s">
        <v>3212</v>
      </c>
      <c r="D99" s="2" t="s">
        <v>7</v>
      </c>
      <c r="E99" s="3">
        <v>1</v>
      </c>
    </row>
    <row r="100" spans="1:5">
      <c r="A100" s="19" t="s">
        <v>5097</v>
      </c>
      <c r="B100" s="19">
        <v>20180983</v>
      </c>
      <c r="C100" s="19" t="s">
        <v>5110</v>
      </c>
      <c r="D100" s="2" t="s">
        <v>7</v>
      </c>
      <c r="E100" s="3">
        <v>1</v>
      </c>
    </row>
    <row r="101" spans="1:5">
      <c r="A101" s="19" t="s">
        <v>5097</v>
      </c>
      <c r="B101" s="19">
        <v>20180984</v>
      </c>
      <c r="C101" s="19" t="s">
        <v>5111</v>
      </c>
      <c r="D101" s="2" t="s">
        <v>7</v>
      </c>
      <c r="E101" s="3">
        <v>1</v>
      </c>
    </row>
    <row r="102" spans="1:5">
      <c r="A102" s="19" t="s">
        <v>5097</v>
      </c>
      <c r="B102" s="19">
        <v>20180985</v>
      </c>
      <c r="C102" s="19" t="s">
        <v>5112</v>
      </c>
      <c r="D102" s="2" t="s">
        <v>7</v>
      </c>
      <c r="E102" s="3">
        <v>1</v>
      </c>
    </row>
    <row r="103" spans="1:5">
      <c r="A103" s="19" t="s">
        <v>5097</v>
      </c>
      <c r="B103" s="19">
        <v>20180986</v>
      </c>
      <c r="C103" s="19" t="s">
        <v>5113</v>
      </c>
      <c r="D103" s="2" t="s">
        <v>7</v>
      </c>
      <c r="E103" s="3">
        <v>1</v>
      </c>
    </row>
    <row r="104" spans="1:5">
      <c r="A104" s="19" t="s">
        <v>5097</v>
      </c>
      <c r="B104" s="19">
        <v>20180987</v>
      </c>
      <c r="C104" s="19" t="s">
        <v>5114</v>
      </c>
      <c r="D104" s="2" t="s">
        <v>7</v>
      </c>
      <c r="E104" s="3">
        <v>1</v>
      </c>
    </row>
    <row r="105" spans="1:5">
      <c r="A105" s="19" t="s">
        <v>5097</v>
      </c>
      <c r="B105" s="19">
        <v>20180988</v>
      </c>
      <c r="C105" s="19" t="s">
        <v>4955</v>
      </c>
      <c r="D105" s="2" t="s">
        <v>7</v>
      </c>
      <c r="E105" s="3">
        <v>1</v>
      </c>
    </row>
    <row r="106" spans="1:5">
      <c r="A106" s="19" t="s">
        <v>5097</v>
      </c>
      <c r="B106" s="19">
        <v>20180989</v>
      </c>
      <c r="C106" s="19" t="s">
        <v>4955</v>
      </c>
      <c r="D106" s="2" t="s">
        <v>7</v>
      </c>
      <c r="E106" s="3">
        <v>1</v>
      </c>
    </row>
    <row r="107" spans="1:5">
      <c r="A107" s="19" t="s">
        <v>5097</v>
      </c>
      <c r="B107" s="19">
        <v>20180990</v>
      </c>
      <c r="C107" s="19" t="s">
        <v>4955</v>
      </c>
      <c r="D107" s="2" t="s">
        <v>7</v>
      </c>
      <c r="E107" s="3">
        <v>1</v>
      </c>
    </row>
    <row r="108" spans="1:5">
      <c r="A108" s="19" t="s">
        <v>5097</v>
      </c>
      <c r="B108" s="19">
        <v>20180991</v>
      </c>
      <c r="C108" s="19" t="s">
        <v>4955</v>
      </c>
      <c r="D108" s="2" t="s">
        <v>7</v>
      </c>
      <c r="E108" s="3">
        <v>1</v>
      </c>
    </row>
    <row r="109" spans="1:5">
      <c r="A109" s="19" t="s">
        <v>5097</v>
      </c>
      <c r="B109" s="19">
        <v>20180992</v>
      </c>
      <c r="C109" s="19" t="s">
        <v>5060</v>
      </c>
      <c r="D109" s="2" t="s">
        <v>7</v>
      </c>
      <c r="E109" s="3">
        <v>1</v>
      </c>
    </row>
    <row r="110" spans="1:5">
      <c r="A110" s="19" t="s">
        <v>5097</v>
      </c>
      <c r="B110" s="19">
        <v>20180993</v>
      </c>
      <c r="C110" s="19" t="s">
        <v>5060</v>
      </c>
      <c r="D110" s="2" t="s">
        <v>7</v>
      </c>
      <c r="E110" s="3">
        <v>1</v>
      </c>
    </row>
    <row r="111" spans="1:5">
      <c r="A111" s="19" t="s">
        <v>5097</v>
      </c>
      <c r="B111" s="19">
        <v>20180994</v>
      </c>
      <c r="C111" s="19" t="s">
        <v>5060</v>
      </c>
      <c r="D111" s="2" t="s">
        <v>7</v>
      </c>
      <c r="E111" s="3">
        <v>1</v>
      </c>
    </row>
    <row r="112" spans="1:5">
      <c r="A112" s="19" t="s">
        <v>5097</v>
      </c>
      <c r="B112" s="19">
        <v>20180995</v>
      </c>
      <c r="C112" s="19" t="s">
        <v>5060</v>
      </c>
      <c r="D112" s="2" t="s">
        <v>7</v>
      </c>
      <c r="E112" s="3">
        <v>1</v>
      </c>
    </row>
    <row r="113" spans="1:5">
      <c r="A113" s="19" t="s">
        <v>5097</v>
      </c>
      <c r="B113" s="19">
        <v>20180996</v>
      </c>
      <c r="C113" s="19" t="s">
        <v>5060</v>
      </c>
      <c r="D113" s="2" t="s">
        <v>7</v>
      </c>
      <c r="E113" s="3">
        <v>1</v>
      </c>
    </row>
    <row r="114" spans="1:5">
      <c r="A114" s="19" t="s">
        <v>5097</v>
      </c>
      <c r="B114" s="19">
        <v>20180997</v>
      </c>
      <c r="C114" s="19" t="s">
        <v>5060</v>
      </c>
      <c r="D114" s="2" t="s">
        <v>7</v>
      </c>
      <c r="E114" s="3">
        <v>1</v>
      </c>
    </row>
    <row r="115" spans="1:5">
      <c r="A115" s="19" t="s">
        <v>5097</v>
      </c>
      <c r="B115" s="19">
        <v>20180998</v>
      </c>
      <c r="C115" s="19" t="s">
        <v>5060</v>
      </c>
      <c r="D115" s="2" t="s">
        <v>7</v>
      </c>
      <c r="E115" s="3">
        <v>1</v>
      </c>
    </row>
    <row r="116" spans="1:5">
      <c r="A116" s="19" t="s">
        <v>5097</v>
      </c>
      <c r="B116" s="19">
        <v>20180999</v>
      </c>
      <c r="C116" s="19" t="s">
        <v>5060</v>
      </c>
      <c r="D116" s="2" t="s">
        <v>7</v>
      </c>
      <c r="E116" s="3">
        <v>1</v>
      </c>
    </row>
    <row r="117" spans="1:5">
      <c r="A117" s="19" t="s">
        <v>5097</v>
      </c>
      <c r="B117" s="19">
        <v>20181000</v>
      </c>
      <c r="C117" s="19" t="s">
        <v>5060</v>
      </c>
      <c r="D117" s="2" t="s">
        <v>7</v>
      </c>
      <c r="E117" s="3">
        <v>1</v>
      </c>
    </row>
    <row r="118" spans="1:5">
      <c r="A118" s="19" t="s">
        <v>5097</v>
      </c>
      <c r="B118" s="19">
        <v>20181001</v>
      </c>
      <c r="C118" s="19" t="s">
        <v>5060</v>
      </c>
      <c r="D118" s="2" t="s">
        <v>7</v>
      </c>
      <c r="E118" s="3">
        <v>1</v>
      </c>
    </row>
    <row r="119" spans="1:5">
      <c r="A119" s="19" t="s">
        <v>5097</v>
      </c>
      <c r="B119" s="19">
        <v>20181002</v>
      </c>
      <c r="C119" s="19" t="s">
        <v>5060</v>
      </c>
      <c r="D119" s="2" t="s">
        <v>7</v>
      </c>
      <c r="E119" s="3">
        <v>1</v>
      </c>
    </row>
    <row r="120" spans="1:5">
      <c r="A120" s="19" t="s">
        <v>5097</v>
      </c>
      <c r="B120" s="19">
        <v>20181003</v>
      </c>
      <c r="C120" s="19" t="s">
        <v>5060</v>
      </c>
      <c r="D120" s="2" t="s">
        <v>7</v>
      </c>
      <c r="E120" s="3">
        <v>1</v>
      </c>
    </row>
    <row r="121" spans="1:5">
      <c r="A121" s="19" t="s">
        <v>5097</v>
      </c>
      <c r="B121" s="19">
        <v>20181004</v>
      </c>
      <c r="C121" s="19" t="s">
        <v>5060</v>
      </c>
      <c r="D121" s="2" t="s">
        <v>7</v>
      </c>
      <c r="E121" s="3">
        <v>1</v>
      </c>
    </row>
    <row r="122" spans="1:5">
      <c r="A122" s="19" t="s">
        <v>5097</v>
      </c>
      <c r="B122" s="19">
        <v>20181005</v>
      </c>
      <c r="C122" s="19" t="s">
        <v>5060</v>
      </c>
      <c r="D122" s="2" t="s">
        <v>7</v>
      </c>
      <c r="E122" s="3">
        <v>1</v>
      </c>
    </row>
    <row r="123" spans="1:5">
      <c r="A123" s="19" t="s">
        <v>5097</v>
      </c>
      <c r="B123" s="19">
        <v>20181006</v>
      </c>
      <c r="C123" s="19" t="s">
        <v>5060</v>
      </c>
      <c r="D123" s="2" t="s">
        <v>7</v>
      </c>
      <c r="E123" s="3">
        <v>1</v>
      </c>
    </row>
    <row r="124" spans="1:5">
      <c r="A124" s="19" t="s">
        <v>5097</v>
      </c>
      <c r="B124" s="19">
        <v>20181007</v>
      </c>
      <c r="C124" s="19" t="s">
        <v>5060</v>
      </c>
      <c r="D124" s="2" t="s">
        <v>7</v>
      </c>
      <c r="E124" s="3">
        <v>1</v>
      </c>
    </row>
    <row r="125" spans="1:5">
      <c r="A125" s="19" t="s">
        <v>5097</v>
      </c>
      <c r="B125" s="19">
        <v>20181008</v>
      </c>
      <c r="C125" s="19" t="s">
        <v>5060</v>
      </c>
      <c r="D125" s="2" t="s">
        <v>7</v>
      </c>
      <c r="E125" s="3">
        <v>1</v>
      </c>
    </row>
    <row r="126" spans="1:5">
      <c r="A126" s="19" t="s">
        <v>5097</v>
      </c>
      <c r="B126" s="19">
        <v>20181009</v>
      </c>
      <c r="C126" s="19" t="s">
        <v>5060</v>
      </c>
      <c r="D126" s="2" t="s">
        <v>7</v>
      </c>
      <c r="E126" s="3">
        <v>1</v>
      </c>
    </row>
    <row r="127" spans="1:5">
      <c r="A127" s="19" t="s">
        <v>5097</v>
      </c>
      <c r="B127" s="19">
        <v>20181010</v>
      </c>
      <c r="C127" s="19" t="s">
        <v>5060</v>
      </c>
      <c r="D127" s="2" t="s">
        <v>7</v>
      </c>
      <c r="E127" s="3">
        <v>1</v>
      </c>
    </row>
    <row r="128" spans="1:5">
      <c r="A128" s="19" t="s">
        <v>5097</v>
      </c>
      <c r="B128" s="19">
        <v>20181011</v>
      </c>
      <c r="C128" s="19" t="s">
        <v>5060</v>
      </c>
      <c r="D128" s="2" t="s">
        <v>7</v>
      </c>
      <c r="E128" s="3">
        <v>1</v>
      </c>
    </row>
    <row r="129" spans="1:5">
      <c r="A129" s="19" t="s">
        <v>5097</v>
      </c>
      <c r="B129" s="19">
        <v>20181012</v>
      </c>
      <c r="C129" s="19" t="s">
        <v>5060</v>
      </c>
      <c r="D129" s="2" t="s">
        <v>7</v>
      </c>
      <c r="E129" s="3">
        <v>1</v>
      </c>
    </row>
    <row r="130" spans="1:5">
      <c r="A130" s="19" t="s">
        <v>5097</v>
      </c>
      <c r="B130" s="19">
        <v>20181013</v>
      </c>
      <c r="C130" s="19" t="s">
        <v>5060</v>
      </c>
      <c r="D130" s="2" t="s">
        <v>7</v>
      </c>
      <c r="E130" s="3">
        <v>1</v>
      </c>
    </row>
    <row r="131" spans="1:5">
      <c r="A131" s="19" t="s">
        <v>5097</v>
      </c>
      <c r="B131" s="19">
        <v>20181014</v>
      </c>
      <c r="C131" s="19" t="s">
        <v>5060</v>
      </c>
      <c r="D131" s="2" t="s">
        <v>7</v>
      </c>
      <c r="E131" s="3">
        <v>1</v>
      </c>
    </row>
    <row r="132" spans="1:5">
      <c r="A132" s="19" t="s">
        <v>5097</v>
      </c>
      <c r="B132" s="19">
        <v>20181015</v>
      </c>
      <c r="C132" s="19" t="s">
        <v>5060</v>
      </c>
      <c r="D132" s="2" t="s">
        <v>7</v>
      </c>
      <c r="E132" s="3">
        <v>1</v>
      </c>
    </row>
    <row r="133" spans="1:5">
      <c r="A133" s="19" t="s">
        <v>5097</v>
      </c>
      <c r="B133" s="19">
        <v>20181016</v>
      </c>
      <c r="C133" s="19" t="s">
        <v>5060</v>
      </c>
      <c r="D133" s="2" t="s">
        <v>7</v>
      </c>
      <c r="E133" s="3">
        <v>1</v>
      </c>
    </row>
    <row r="134" spans="1:5">
      <c r="A134" s="19" t="s">
        <v>5097</v>
      </c>
      <c r="B134" s="19">
        <v>20181017</v>
      </c>
      <c r="C134" s="19" t="s">
        <v>5060</v>
      </c>
      <c r="D134" s="2" t="s">
        <v>7</v>
      </c>
      <c r="E134" s="3">
        <v>1</v>
      </c>
    </row>
    <row r="135" spans="1:5">
      <c r="A135" s="19" t="s">
        <v>5097</v>
      </c>
      <c r="B135" s="19">
        <v>20181018</v>
      </c>
      <c r="C135" s="19" t="s">
        <v>5060</v>
      </c>
      <c r="D135" s="2" t="s">
        <v>7</v>
      </c>
      <c r="E135" s="3">
        <v>1</v>
      </c>
    </row>
    <row r="136" spans="1:5">
      <c r="A136" s="19" t="s">
        <v>5097</v>
      </c>
      <c r="B136" s="19">
        <v>20181019</v>
      </c>
      <c r="C136" s="19" t="s">
        <v>5060</v>
      </c>
      <c r="D136" s="2" t="s">
        <v>7</v>
      </c>
      <c r="E136" s="3">
        <v>1</v>
      </c>
    </row>
    <row r="137" spans="1:5">
      <c r="A137" s="19" t="s">
        <v>5097</v>
      </c>
      <c r="B137" s="19">
        <v>20181020</v>
      </c>
      <c r="C137" s="19" t="s">
        <v>5060</v>
      </c>
      <c r="D137" s="2" t="s">
        <v>7</v>
      </c>
      <c r="E137" s="3">
        <v>1</v>
      </c>
    </row>
    <row r="138" spans="1:5">
      <c r="A138" s="19" t="s">
        <v>5097</v>
      </c>
      <c r="B138" s="19">
        <v>20181021</v>
      </c>
      <c r="C138" s="19" t="s">
        <v>5060</v>
      </c>
      <c r="D138" s="2" t="s">
        <v>7</v>
      </c>
      <c r="E138" s="3">
        <v>1</v>
      </c>
    </row>
    <row r="139" spans="1:5">
      <c r="A139" s="19" t="s">
        <v>5097</v>
      </c>
      <c r="B139" s="19">
        <v>20181022</v>
      </c>
      <c r="C139" s="19" t="s">
        <v>5060</v>
      </c>
      <c r="D139" s="2" t="s">
        <v>7</v>
      </c>
      <c r="E139" s="3">
        <v>1</v>
      </c>
    </row>
    <row r="140" spans="1:5">
      <c r="A140" s="19" t="s">
        <v>5097</v>
      </c>
      <c r="B140" s="19">
        <v>20181023</v>
      </c>
      <c r="C140" s="19" t="s">
        <v>5060</v>
      </c>
      <c r="D140" s="2" t="s">
        <v>7</v>
      </c>
      <c r="E140" s="3">
        <v>1</v>
      </c>
    </row>
    <row r="141" spans="1:5">
      <c r="A141" s="19" t="s">
        <v>5097</v>
      </c>
      <c r="B141" s="19">
        <v>20181024</v>
      </c>
      <c r="C141" s="19" t="s">
        <v>5060</v>
      </c>
      <c r="D141" s="2" t="s">
        <v>7</v>
      </c>
      <c r="E141" s="3">
        <v>1</v>
      </c>
    </row>
    <row r="142" spans="1:5">
      <c r="A142" s="19" t="s">
        <v>5097</v>
      </c>
      <c r="B142" s="19">
        <v>20181025</v>
      </c>
      <c r="C142" s="19" t="s">
        <v>5060</v>
      </c>
      <c r="D142" s="2" t="s">
        <v>7</v>
      </c>
      <c r="E142" s="3">
        <v>1</v>
      </c>
    </row>
    <row r="143" spans="1:5">
      <c r="A143" s="19" t="s">
        <v>5097</v>
      </c>
      <c r="B143" s="19">
        <v>20181026</v>
      </c>
      <c r="C143" s="19" t="s">
        <v>5060</v>
      </c>
      <c r="D143" s="2" t="s">
        <v>7</v>
      </c>
      <c r="E143" s="3">
        <v>1</v>
      </c>
    </row>
    <row r="144" spans="1:5">
      <c r="A144" s="19" t="s">
        <v>5097</v>
      </c>
      <c r="B144" s="19">
        <v>20181027</v>
      </c>
      <c r="C144" s="19" t="s">
        <v>5060</v>
      </c>
      <c r="D144" s="2" t="s">
        <v>7</v>
      </c>
      <c r="E144" s="3">
        <v>1</v>
      </c>
    </row>
    <row r="145" spans="1:5">
      <c r="A145" s="19" t="s">
        <v>5097</v>
      </c>
      <c r="B145" s="19">
        <v>20181028</v>
      </c>
      <c r="C145" s="19" t="s">
        <v>5060</v>
      </c>
      <c r="D145" s="2" t="s">
        <v>7</v>
      </c>
      <c r="E145" s="3">
        <v>1</v>
      </c>
    </row>
    <row r="146" spans="1:5">
      <c r="A146" s="19" t="s">
        <v>5097</v>
      </c>
      <c r="B146" s="19">
        <v>20181029</v>
      </c>
      <c r="C146" s="19" t="s">
        <v>5060</v>
      </c>
      <c r="D146" s="2" t="s">
        <v>7</v>
      </c>
      <c r="E146" s="3">
        <v>1</v>
      </c>
    </row>
    <row r="147" spans="1:5">
      <c r="A147" s="19" t="s">
        <v>5097</v>
      </c>
      <c r="B147" s="19">
        <v>20181030</v>
      </c>
      <c r="C147" s="19" t="s">
        <v>5060</v>
      </c>
      <c r="D147" s="2" t="s">
        <v>7</v>
      </c>
      <c r="E147" s="3">
        <v>1</v>
      </c>
    </row>
    <row r="148" spans="1:5">
      <c r="A148" s="19" t="s">
        <v>5097</v>
      </c>
      <c r="B148" s="19">
        <v>20181031</v>
      </c>
      <c r="C148" s="19" t="s">
        <v>5060</v>
      </c>
      <c r="D148" s="2" t="s">
        <v>7</v>
      </c>
      <c r="E148" s="3">
        <v>1</v>
      </c>
    </row>
    <row r="149" spans="1:5">
      <c r="A149" s="19" t="s">
        <v>5097</v>
      </c>
      <c r="B149" s="19">
        <v>20181032</v>
      </c>
      <c r="C149" s="19" t="s">
        <v>5115</v>
      </c>
      <c r="D149" s="2" t="s">
        <v>7</v>
      </c>
      <c r="E149" s="3">
        <v>1</v>
      </c>
    </row>
    <row r="150" spans="1:5">
      <c r="A150" s="19" t="s">
        <v>5097</v>
      </c>
      <c r="B150" s="19">
        <v>20181033</v>
      </c>
      <c r="C150" s="19" t="s">
        <v>4955</v>
      </c>
      <c r="D150" s="2" t="s">
        <v>7</v>
      </c>
      <c r="E150" s="3">
        <v>1</v>
      </c>
    </row>
    <row r="151" spans="1:5">
      <c r="A151" s="19" t="s">
        <v>5097</v>
      </c>
      <c r="B151" s="19">
        <v>20181034</v>
      </c>
      <c r="C151" s="19" t="s">
        <v>4955</v>
      </c>
      <c r="D151" s="2" t="s">
        <v>7</v>
      </c>
      <c r="E151" s="3">
        <v>1</v>
      </c>
    </row>
    <row r="152" spans="1:5">
      <c r="A152" s="19" t="s">
        <v>5097</v>
      </c>
      <c r="B152" s="19">
        <v>20181035</v>
      </c>
      <c r="C152" s="19" t="s">
        <v>4955</v>
      </c>
      <c r="D152" s="2" t="s">
        <v>7</v>
      </c>
      <c r="E152" s="3">
        <v>1</v>
      </c>
    </row>
    <row r="153" spans="1:5">
      <c r="A153" s="19" t="s">
        <v>5097</v>
      </c>
      <c r="B153" s="19">
        <v>20181036</v>
      </c>
      <c r="C153" s="19" t="s">
        <v>4955</v>
      </c>
      <c r="D153" s="2" t="s">
        <v>7</v>
      </c>
      <c r="E153" s="3">
        <v>1</v>
      </c>
    </row>
    <row r="154" spans="1:5">
      <c r="A154" s="19" t="s">
        <v>5097</v>
      </c>
      <c r="B154" s="19">
        <v>20181037</v>
      </c>
      <c r="C154" s="19" t="s">
        <v>5116</v>
      </c>
      <c r="D154" s="2" t="s">
        <v>7</v>
      </c>
      <c r="E154" s="3">
        <v>1</v>
      </c>
    </row>
    <row r="155" spans="1:5">
      <c r="A155" s="19" t="s">
        <v>5097</v>
      </c>
      <c r="B155" s="19">
        <v>20181038</v>
      </c>
      <c r="C155" s="19" t="s">
        <v>5117</v>
      </c>
      <c r="D155" s="2" t="s">
        <v>7</v>
      </c>
      <c r="E155" s="3">
        <v>1</v>
      </c>
    </row>
    <row r="156" spans="1:5">
      <c r="A156" s="19" t="s">
        <v>5097</v>
      </c>
      <c r="B156" s="19">
        <v>20181039</v>
      </c>
      <c r="C156" s="19" t="s">
        <v>5118</v>
      </c>
      <c r="D156" s="2" t="s">
        <v>7</v>
      </c>
      <c r="E156" s="3">
        <v>1</v>
      </c>
    </row>
    <row r="157" spans="1:5">
      <c r="A157" s="19" t="s">
        <v>5097</v>
      </c>
      <c r="B157" s="19">
        <v>20181040</v>
      </c>
      <c r="C157" s="19" t="s">
        <v>5119</v>
      </c>
      <c r="D157" s="2" t="s">
        <v>7</v>
      </c>
      <c r="E157" s="3">
        <v>1</v>
      </c>
    </row>
    <row r="158" spans="1:5">
      <c r="A158" s="19" t="s">
        <v>5097</v>
      </c>
      <c r="B158" s="19">
        <v>20181041</v>
      </c>
      <c r="C158" s="19" t="s">
        <v>5120</v>
      </c>
      <c r="D158" s="2" t="s">
        <v>7</v>
      </c>
      <c r="E158" s="3">
        <v>1</v>
      </c>
    </row>
    <row r="159" spans="1:5">
      <c r="A159" s="19" t="s">
        <v>5097</v>
      </c>
      <c r="B159" s="19">
        <v>20181042</v>
      </c>
      <c r="C159" s="19" t="s">
        <v>95</v>
      </c>
      <c r="D159" s="2" t="s">
        <v>7</v>
      </c>
      <c r="E159" s="3">
        <v>1</v>
      </c>
    </row>
    <row r="160" spans="1:5">
      <c r="A160" s="19" t="s">
        <v>5097</v>
      </c>
      <c r="B160" s="19">
        <v>20181043</v>
      </c>
      <c r="C160" s="19" t="s">
        <v>5121</v>
      </c>
      <c r="D160" s="2" t="s">
        <v>7</v>
      </c>
      <c r="E160" s="3">
        <v>1</v>
      </c>
    </row>
    <row r="161" spans="1:5">
      <c r="A161" s="19" t="s">
        <v>5097</v>
      </c>
      <c r="B161" s="19">
        <v>20190807</v>
      </c>
      <c r="C161" s="19" t="s">
        <v>893</v>
      </c>
      <c r="D161" s="2" t="s">
        <v>7</v>
      </c>
      <c r="E161" s="3">
        <v>1</v>
      </c>
    </row>
    <row r="162" spans="1:5">
      <c r="A162" s="19" t="s">
        <v>5097</v>
      </c>
      <c r="B162" s="19">
        <v>20190808</v>
      </c>
      <c r="C162" s="19" t="s">
        <v>5122</v>
      </c>
      <c r="D162" s="2" t="s">
        <v>7</v>
      </c>
      <c r="E162" s="3">
        <v>1</v>
      </c>
    </row>
    <row r="163" spans="1:5">
      <c r="A163" s="19" t="s">
        <v>5097</v>
      </c>
      <c r="B163" s="19">
        <v>20190809</v>
      </c>
      <c r="C163" s="19" t="s">
        <v>5122</v>
      </c>
      <c r="D163" s="2" t="s">
        <v>7</v>
      </c>
      <c r="E163" s="3">
        <v>1</v>
      </c>
    </row>
    <row r="164" spans="1:5">
      <c r="A164" s="19" t="s">
        <v>5097</v>
      </c>
      <c r="B164" s="19">
        <v>20190810</v>
      </c>
      <c r="C164" s="19" t="s">
        <v>2534</v>
      </c>
      <c r="D164" s="2" t="s">
        <v>7</v>
      </c>
      <c r="E164" s="3">
        <v>1</v>
      </c>
    </row>
    <row r="165" spans="1:5">
      <c r="A165" s="19" t="s">
        <v>5097</v>
      </c>
      <c r="B165" s="19">
        <v>20050381</v>
      </c>
      <c r="C165" s="19" t="s">
        <v>362</v>
      </c>
      <c r="D165" s="2" t="s">
        <v>7</v>
      </c>
      <c r="E165" s="3">
        <v>1</v>
      </c>
    </row>
    <row r="166" spans="1:5">
      <c r="A166" s="19" t="s">
        <v>5097</v>
      </c>
      <c r="B166" s="19">
        <v>20090487</v>
      </c>
      <c r="C166" s="19" t="s">
        <v>772</v>
      </c>
      <c r="D166" s="2" t="s">
        <v>7</v>
      </c>
      <c r="E166" s="3">
        <v>1</v>
      </c>
    </row>
    <row r="167" spans="1:5">
      <c r="A167" s="19" t="s">
        <v>5097</v>
      </c>
      <c r="B167" s="19">
        <v>20140297</v>
      </c>
      <c r="C167" s="19" t="s">
        <v>772</v>
      </c>
      <c r="D167" s="2" t="s">
        <v>7</v>
      </c>
      <c r="E167" s="3">
        <v>1</v>
      </c>
    </row>
    <row r="168" spans="1:5">
      <c r="A168" s="19" t="s">
        <v>5097</v>
      </c>
      <c r="B168" s="19">
        <v>20140298</v>
      </c>
      <c r="C168" s="19" t="s">
        <v>772</v>
      </c>
      <c r="D168" s="2" t="s">
        <v>7</v>
      </c>
      <c r="E168" s="3">
        <v>1</v>
      </c>
    </row>
    <row r="169" spans="1:5">
      <c r="A169" s="19" t="s">
        <v>5097</v>
      </c>
      <c r="B169" s="19">
        <v>20140299</v>
      </c>
      <c r="C169" s="19" t="s">
        <v>772</v>
      </c>
      <c r="D169" s="2" t="s">
        <v>7</v>
      </c>
      <c r="E169" s="3">
        <v>1</v>
      </c>
    </row>
    <row r="170" spans="1:5">
      <c r="A170" s="19" t="s">
        <v>5097</v>
      </c>
      <c r="B170" s="19">
        <v>20140300</v>
      </c>
      <c r="C170" s="19" t="s">
        <v>772</v>
      </c>
      <c r="D170" s="2" t="s">
        <v>7</v>
      </c>
      <c r="E170" s="3">
        <v>1</v>
      </c>
    </row>
    <row r="171" spans="1:5">
      <c r="A171" s="19" t="s">
        <v>5097</v>
      </c>
      <c r="B171" s="19">
        <v>20140301</v>
      </c>
      <c r="C171" s="19" t="s">
        <v>96</v>
      </c>
      <c r="D171" s="2" t="s">
        <v>7</v>
      </c>
      <c r="E171" s="3">
        <v>1</v>
      </c>
    </row>
    <row r="172" spans="1:5">
      <c r="A172" s="19" t="s">
        <v>5097</v>
      </c>
      <c r="B172" s="19">
        <v>20140302</v>
      </c>
      <c r="C172" s="19" t="s">
        <v>96</v>
      </c>
      <c r="D172" s="2" t="s">
        <v>7</v>
      </c>
      <c r="E172" s="3">
        <v>1</v>
      </c>
    </row>
    <row r="173" spans="1:5">
      <c r="A173" s="19" t="s">
        <v>5097</v>
      </c>
      <c r="B173" s="19">
        <v>20140304</v>
      </c>
      <c r="C173" s="19" t="s">
        <v>96</v>
      </c>
      <c r="D173" s="2" t="s">
        <v>7</v>
      </c>
      <c r="E173" s="3">
        <v>1</v>
      </c>
    </row>
    <row r="174" spans="1:5">
      <c r="A174" s="19" t="s">
        <v>5097</v>
      </c>
      <c r="B174" s="19">
        <v>20140305</v>
      </c>
      <c r="C174" s="19" t="s">
        <v>94</v>
      </c>
      <c r="D174" s="2" t="s">
        <v>7</v>
      </c>
      <c r="E174" s="3">
        <v>1</v>
      </c>
    </row>
    <row r="175" spans="1:5">
      <c r="A175" s="19" t="s">
        <v>5097</v>
      </c>
      <c r="B175" s="19">
        <v>20140306</v>
      </c>
      <c r="C175" s="19" t="s">
        <v>362</v>
      </c>
      <c r="D175" s="2" t="s">
        <v>7</v>
      </c>
      <c r="E175" s="3">
        <v>1</v>
      </c>
    </row>
    <row r="176" spans="1:5">
      <c r="A176" s="19" t="s">
        <v>5097</v>
      </c>
      <c r="B176" s="19">
        <v>20140665</v>
      </c>
      <c r="C176" s="19" t="s">
        <v>1671</v>
      </c>
      <c r="D176" s="2" t="s">
        <v>7</v>
      </c>
      <c r="E176" s="3">
        <v>1</v>
      </c>
    </row>
    <row r="177" spans="1:5">
      <c r="A177" s="19" t="s">
        <v>5097</v>
      </c>
      <c r="B177" s="19">
        <v>20140666</v>
      </c>
      <c r="C177" s="19" t="s">
        <v>95</v>
      </c>
      <c r="D177" s="2" t="s">
        <v>7</v>
      </c>
      <c r="E177" s="3">
        <v>1</v>
      </c>
    </row>
    <row r="178" spans="1:5">
      <c r="A178" s="19" t="s">
        <v>5097</v>
      </c>
      <c r="B178" s="19">
        <v>20151357</v>
      </c>
      <c r="C178" s="19" t="s">
        <v>772</v>
      </c>
      <c r="D178" s="2" t="s">
        <v>7</v>
      </c>
      <c r="E178" s="3">
        <v>1</v>
      </c>
    </row>
    <row r="179" spans="1:5">
      <c r="A179" s="19" t="s">
        <v>5097</v>
      </c>
      <c r="B179" s="19">
        <v>20151358</v>
      </c>
      <c r="C179" s="19" t="s">
        <v>772</v>
      </c>
      <c r="D179" s="2" t="s">
        <v>7</v>
      </c>
      <c r="E179" s="3">
        <v>1</v>
      </c>
    </row>
    <row r="180" spans="1:5">
      <c r="A180" s="19" t="s">
        <v>5097</v>
      </c>
      <c r="B180" s="19">
        <v>20151753</v>
      </c>
      <c r="C180" s="19" t="s">
        <v>5123</v>
      </c>
      <c r="D180" s="2" t="s">
        <v>7</v>
      </c>
      <c r="E180" s="3">
        <v>1</v>
      </c>
    </row>
    <row r="181" spans="1:5">
      <c r="A181" s="19" t="s">
        <v>5097</v>
      </c>
      <c r="B181" s="19">
        <v>20160015</v>
      </c>
      <c r="C181" s="19" t="s">
        <v>95</v>
      </c>
      <c r="D181" s="2" t="s">
        <v>7</v>
      </c>
      <c r="E181" s="3">
        <v>1</v>
      </c>
    </row>
    <row r="182" spans="1:5">
      <c r="A182" s="19" t="s">
        <v>5097</v>
      </c>
      <c r="B182" s="19">
        <v>20160017</v>
      </c>
      <c r="C182" s="19" t="s">
        <v>5124</v>
      </c>
      <c r="D182" s="2" t="s">
        <v>7</v>
      </c>
      <c r="E182" s="3">
        <v>1</v>
      </c>
    </row>
    <row r="183" spans="1:5">
      <c r="A183" s="19" t="s">
        <v>5097</v>
      </c>
      <c r="B183" s="19">
        <v>20160019</v>
      </c>
      <c r="C183" s="19" t="s">
        <v>96</v>
      </c>
      <c r="D183" s="2" t="s">
        <v>7</v>
      </c>
      <c r="E183" s="3">
        <v>1</v>
      </c>
    </row>
    <row r="184" spans="1:5">
      <c r="A184" s="19" t="s">
        <v>5097</v>
      </c>
      <c r="B184" s="19">
        <v>20180108</v>
      </c>
      <c r="C184" s="19" t="s">
        <v>130</v>
      </c>
      <c r="D184" s="2" t="s">
        <v>7</v>
      </c>
      <c r="E184" s="3">
        <v>1</v>
      </c>
    </row>
    <row r="185" spans="1:5">
      <c r="A185" s="19" t="s">
        <v>5097</v>
      </c>
      <c r="B185" s="19">
        <v>20190191</v>
      </c>
      <c r="C185" s="19" t="s">
        <v>95</v>
      </c>
      <c r="D185" s="2" t="s">
        <v>7</v>
      </c>
      <c r="E185" s="3">
        <v>1</v>
      </c>
    </row>
    <row r="186" spans="1:5">
      <c r="A186" s="19" t="s">
        <v>5097</v>
      </c>
      <c r="B186" s="19">
        <v>20200039</v>
      </c>
      <c r="C186" s="19" t="s">
        <v>772</v>
      </c>
      <c r="D186" s="2" t="s">
        <v>7</v>
      </c>
      <c r="E186" s="3">
        <v>1</v>
      </c>
    </row>
    <row r="187" spans="1:5">
      <c r="A187" s="19" t="s">
        <v>5097</v>
      </c>
      <c r="B187" s="19">
        <v>20200040</v>
      </c>
      <c r="C187" s="19" t="s">
        <v>772</v>
      </c>
      <c r="D187" s="2" t="s">
        <v>7</v>
      </c>
      <c r="E187" s="3">
        <v>1</v>
      </c>
    </row>
    <row r="188" spans="1:5">
      <c r="A188" s="19" t="s">
        <v>5097</v>
      </c>
      <c r="B188" s="19">
        <v>20220004</v>
      </c>
      <c r="C188" s="19" t="s">
        <v>5125</v>
      </c>
      <c r="D188" s="2" t="s">
        <v>7</v>
      </c>
      <c r="E188" s="3">
        <v>1</v>
      </c>
    </row>
    <row r="189" spans="1:5">
      <c r="A189" s="19" t="s">
        <v>5097</v>
      </c>
      <c r="B189" s="19">
        <v>20220005</v>
      </c>
      <c r="C189" s="19" t="s">
        <v>5125</v>
      </c>
      <c r="D189" s="2" t="s">
        <v>7</v>
      </c>
      <c r="E189" s="3">
        <v>1</v>
      </c>
    </row>
    <row r="190" spans="1:5">
      <c r="A190" s="19" t="s">
        <v>5097</v>
      </c>
      <c r="B190" s="19">
        <v>20180109</v>
      </c>
      <c r="C190" s="19" t="s">
        <v>5126</v>
      </c>
      <c r="D190" s="2" t="s">
        <v>7</v>
      </c>
      <c r="E190" s="3">
        <v>1</v>
      </c>
    </row>
    <row r="191" spans="1:5">
      <c r="A191" s="19" t="s">
        <v>5097</v>
      </c>
      <c r="B191" s="19">
        <v>20180110</v>
      </c>
      <c r="C191" s="19" t="s">
        <v>5127</v>
      </c>
      <c r="D191" s="2" t="s">
        <v>7</v>
      </c>
      <c r="E191" s="3">
        <v>1</v>
      </c>
    </row>
    <row r="192" spans="1:5">
      <c r="A192" s="19" t="s">
        <v>5097</v>
      </c>
      <c r="B192" s="19">
        <v>20180111</v>
      </c>
      <c r="C192" s="19" t="s">
        <v>914</v>
      </c>
      <c r="D192" s="2" t="s">
        <v>7</v>
      </c>
      <c r="E192" s="3">
        <v>1</v>
      </c>
    </row>
    <row r="193" spans="1:5">
      <c r="A193" s="19" t="s">
        <v>5097</v>
      </c>
      <c r="B193" s="19">
        <v>20210703</v>
      </c>
      <c r="C193" s="19" t="s">
        <v>108</v>
      </c>
      <c r="D193" s="2" t="s">
        <v>7</v>
      </c>
      <c r="E193" s="3">
        <v>1</v>
      </c>
    </row>
    <row r="194" spans="1:5">
      <c r="A194" s="19" t="s">
        <v>5097</v>
      </c>
      <c r="B194" s="19">
        <v>20211018</v>
      </c>
      <c r="C194" s="19" t="s">
        <v>410</v>
      </c>
      <c r="D194" s="2" t="s">
        <v>7</v>
      </c>
      <c r="E194" s="3">
        <v>1</v>
      </c>
    </row>
    <row r="195" spans="1:5">
      <c r="A195" s="19" t="s">
        <v>5097</v>
      </c>
      <c r="B195" s="19">
        <v>20211202</v>
      </c>
      <c r="C195" s="19" t="s">
        <v>96</v>
      </c>
      <c r="D195" s="2" t="s">
        <v>7</v>
      </c>
      <c r="E195" s="3">
        <v>1</v>
      </c>
    </row>
    <row r="196" spans="1:5">
      <c r="A196" s="19" t="s">
        <v>5097</v>
      </c>
      <c r="B196" s="19">
        <v>20211203</v>
      </c>
      <c r="C196" s="19" t="s">
        <v>96</v>
      </c>
      <c r="D196" s="2" t="s">
        <v>7</v>
      </c>
      <c r="E196" s="3">
        <v>1</v>
      </c>
    </row>
    <row r="197" spans="1:5">
      <c r="A197" s="19" t="s">
        <v>5097</v>
      </c>
      <c r="B197" s="19">
        <v>20211204</v>
      </c>
      <c r="C197" s="19" t="s">
        <v>96</v>
      </c>
      <c r="D197" s="2" t="s">
        <v>7</v>
      </c>
      <c r="E197" s="3">
        <v>1</v>
      </c>
    </row>
    <row r="198" spans="1:5">
      <c r="A198" s="19" t="s">
        <v>5097</v>
      </c>
      <c r="B198" s="19">
        <v>20211205</v>
      </c>
      <c r="C198" s="19" t="s">
        <v>96</v>
      </c>
      <c r="D198" s="2" t="s">
        <v>7</v>
      </c>
      <c r="E198" s="3">
        <v>1</v>
      </c>
    </row>
    <row r="199" spans="1:5">
      <c r="A199" s="19" t="s">
        <v>5097</v>
      </c>
      <c r="B199" s="19">
        <v>20211206</v>
      </c>
      <c r="C199" s="19" t="s">
        <v>96</v>
      </c>
      <c r="D199" s="2" t="s">
        <v>7</v>
      </c>
      <c r="E199" s="3">
        <v>1</v>
      </c>
    </row>
    <row r="200" spans="1:5">
      <c r="A200" s="19" t="s">
        <v>5097</v>
      </c>
      <c r="B200" s="19">
        <v>20211207</v>
      </c>
      <c r="C200" s="19" t="s">
        <v>96</v>
      </c>
      <c r="D200" s="2" t="s">
        <v>7</v>
      </c>
      <c r="E200" s="3">
        <v>1</v>
      </c>
    </row>
    <row r="201" spans="1:5">
      <c r="A201" s="19" t="s">
        <v>5097</v>
      </c>
      <c r="B201" s="19">
        <v>20211208</v>
      </c>
      <c r="C201" s="19" t="s">
        <v>96</v>
      </c>
      <c r="D201" s="2" t="s">
        <v>7</v>
      </c>
      <c r="E201" s="3">
        <v>1</v>
      </c>
    </row>
    <row r="202" spans="1:5">
      <c r="A202" s="19" t="s">
        <v>5097</v>
      </c>
      <c r="B202" s="19">
        <v>20211209</v>
      </c>
      <c r="C202" s="19" t="s">
        <v>96</v>
      </c>
      <c r="D202" s="2" t="s">
        <v>7</v>
      </c>
      <c r="E202" s="3">
        <v>1</v>
      </c>
    </row>
    <row r="203" spans="1:5">
      <c r="A203" s="19" t="s">
        <v>5097</v>
      </c>
      <c r="B203" s="19">
        <v>20211210</v>
      </c>
      <c r="C203" s="19" t="s">
        <v>96</v>
      </c>
      <c r="D203" s="2" t="s">
        <v>7</v>
      </c>
      <c r="E203" s="3">
        <v>1</v>
      </c>
    </row>
    <row r="204" spans="1:5">
      <c r="A204" s="19" t="s">
        <v>5097</v>
      </c>
      <c r="B204" s="19">
        <v>20211211</v>
      </c>
      <c r="C204" s="19" t="s">
        <v>96</v>
      </c>
      <c r="D204" s="2" t="s">
        <v>7</v>
      </c>
      <c r="E204" s="3">
        <v>1</v>
      </c>
    </row>
    <row r="205" spans="1:5">
      <c r="A205" s="19" t="s">
        <v>5097</v>
      </c>
      <c r="B205" s="19">
        <v>20211212</v>
      </c>
      <c r="C205" s="19" t="s">
        <v>96</v>
      </c>
      <c r="D205" s="2" t="s">
        <v>7</v>
      </c>
      <c r="E205" s="3">
        <v>1</v>
      </c>
    </row>
    <row r="206" spans="1:5">
      <c r="A206" s="19" t="s">
        <v>5097</v>
      </c>
      <c r="B206" s="19">
        <v>20211213</v>
      </c>
      <c r="C206" s="19" t="s">
        <v>96</v>
      </c>
      <c r="D206" s="2" t="s">
        <v>7</v>
      </c>
      <c r="E206" s="3">
        <v>1</v>
      </c>
    </row>
    <row r="207" spans="1:5">
      <c r="A207" s="19" t="s">
        <v>5097</v>
      </c>
      <c r="B207" s="19">
        <v>20211214</v>
      </c>
      <c r="C207" s="19" t="s">
        <v>96</v>
      </c>
      <c r="D207" s="2" t="s">
        <v>7</v>
      </c>
      <c r="E207" s="3">
        <v>1</v>
      </c>
    </row>
    <row r="208" spans="1:5">
      <c r="A208" s="19" t="s">
        <v>5097</v>
      </c>
      <c r="B208" s="19">
        <v>20211215</v>
      </c>
      <c r="C208" s="19" t="s">
        <v>96</v>
      </c>
      <c r="D208" s="2" t="s">
        <v>7</v>
      </c>
      <c r="E208" s="3">
        <v>1</v>
      </c>
    </row>
    <row r="209" spans="1:5">
      <c r="A209" s="19" t="s">
        <v>5097</v>
      </c>
      <c r="B209" s="19">
        <v>20211216</v>
      </c>
      <c r="C209" s="19" t="s">
        <v>96</v>
      </c>
      <c r="D209" s="2" t="s">
        <v>7</v>
      </c>
      <c r="E209" s="3">
        <v>1</v>
      </c>
    </row>
    <row r="210" spans="1:5">
      <c r="A210" s="19" t="s">
        <v>5097</v>
      </c>
      <c r="B210" s="19">
        <v>20211217</v>
      </c>
      <c r="C210" s="19" t="s">
        <v>96</v>
      </c>
      <c r="D210" s="2" t="s">
        <v>7</v>
      </c>
      <c r="E210" s="3">
        <v>1</v>
      </c>
    </row>
    <row r="211" spans="1:5">
      <c r="A211" s="19" t="s">
        <v>5097</v>
      </c>
      <c r="B211" s="19">
        <v>20211218</v>
      </c>
      <c r="C211" s="19" t="s">
        <v>96</v>
      </c>
      <c r="D211" s="2" t="s">
        <v>7</v>
      </c>
      <c r="E211" s="3">
        <v>1</v>
      </c>
    </row>
    <row r="212" spans="1:5">
      <c r="A212" s="19" t="s">
        <v>5097</v>
      </c>
      <c r="B212" s="19">
        <v>20211219</v>
      </c>
      <c r="C212" s="19" t="s">
        <v>96</v>
      </c>
      <c r="D212" s="2" t="s">
        <v>7</v>
      </c>
      <c r="E212" s="3">
        <v>1</v>
      </c>
    </row>
    <row r="213" spans="1:5">
      <c r="A213" s="19" t="s">
        <v>5097</v>
      </c>
      <c r="B213" s="19">
        <v>20211220</v>
      </c>
      <c r="C213" s="19" t="s">
        <v>96</v>
      </c>
      <c r="D213" s="2" t="s">
        <v>7</v>
      </c>
      <c r="E213" s="3">
        <v>1</v>
      </c>
    </row>
    <row r="214" spans="1:5">
      <c r="A214" s="19" t="s">
        <v>5097</v>
      </c>
      <c r="B214" s="19">
        <v>20211221</v>
      </c>
      <c r="C214" s="19" t="s">
        <v>96</v>
      </c>
      <c r="D214" s="2" t="s">
        <v>7</v>
      </c>
      <c r="E214" s="3">
        <v>1</v>
      </c>
    </row>
    <row r="215" spans="1:5">
      <c r="A215" s="19" t="s">
        <v>5097</v>
      </c>
      <c r="B215" s="19">
        <v>20211222</v>
      </c>
      <c r="C215" s="19" t="s">
        <v>96</v>
      </c>
      <c r="D215" s="2" t="s">
        <v>7</v>
      </c>
      <c r="E215" s="3">
        <v>1</v>
      </c>
    </row>
    <row r="216" spans="1:5">
      <c r="A216" s="19" t="s">
        <v>5097</v>
      </c>
      <c r="B216" s="19">
        <v>20211223</v>
      </c>
      <c r="C216" s="19" t="s">
        <v>96</v>
      </c>
      <c r="D216" s="2" t="s">
        <v>7</v>
      </c>
      <c r="E216" s="3">
        <v>1</v>
      </c>
    </row>
    <row r="217" spans="1:5">
      <c r="A217" s="19" t="s">
        <v>5097</v>
      </c>
      <c r="B217" s="19">
        <v>20211224</v>
      </c>
      <c r="C217" s="19" t="s">
        <v>96</v>
      </c>
      <c r="D217" s="2" t="s">
        <v>7</v>
      </c>
      <c r="E217" s="3">
        <v>1</v>
      </c>
    </row>
    <row r="218" spans="1:5">
      <c r="A218" s="19" t="s">
        <v>5097</v>
      </c>
      <c r="B218" s="19">
        <v>20211225</v>
      </c>
      <c r="C218" s="19" t="s">
        <v>96</v>
      </c>
      <c r="D218" s="2" t="s">
        <v>7</v>
      </c>
      <c r="E218" s="3">
        <v>1</v>
      </c>
    </row>
    <row r="219" spans="1:5">
      <c r="A219" s="19" t="s">
        <v>5097</v>
      </c>
      <c r="B219" s="19">
        <v>20211226</v>
      </c>
      <c r="C219" s="19" t="s">
        <v>96</v>
      </c>
      <c r="D219" s="2" t="s">
        <v>7</v>
      </c>
      <c r="E219" s="3">
        <v>1</v>
      </c>
    </row>
    <row r="220" spans="1:5">
      <c r="A220" s="19" t="s">
        <v>5097</v>
      </c>
      <c r="B220" s="19">
        <v>20211227</v>
      </c>
      <c r="C220" s="19" t="s">
        <v>96</v>
      </c>
      <c r="D220" s="2" t="s">
        <v>7</v>
      </c>
      <c r="E220" s="3">
        <v>1</v>
      </c>
    </row>
    <row r="221" spans="1:5">
      <c r="A221" s="19" t="s">
        <v>5097</v>
      </c>
      <c r="B221" s="19">
        <v>20211228</v>
      </c>
      <c r="C221" s="19" t="s">
        <v>96</v>
      </c>
      <c r="D221" s="2" t="s">
        <v>7</v>
      </c>
      <c r="E221" s="3">
        <v>1</v>
      </c>
    </row>
    <row r="222" spans="1:5">
      <c r="A222" s="19" t="s">
        <v>5097</v>
      </c>
      <c r="B222" s="19">
        <v>20211229</v>
      </c>
      <c r="C222" s="19" t="s">
        <v>96</v>
      </c>
      <c r="D222" s="2" t="s">
        <v>7</v>
      </c>
      <c r="E222" s="3">
        <v>1</v>
      </c>
    </row>
    <row r="223" spans="1:5">
      <c r="A223" s="19" t="s">
        <v>5097</v>
      </c>
      <c r="B223" s="19">
        <v>20211230</v>
      </c>
      <c r="C223" s="19" t="s">
        <v>96</v>
      </c>
      <c r="D223" s="2" t="s">
        <v>7</v>
      </c>
      <c r="E223" s="3">
        <v>1</v>
      </c>
    </row>
    <row r="224" spans="1:5">
      <c r="A224" s="19" t="s">
        <v>5097</v>
      </c>
      <c r="B224" s="19">
        <v>20211231</v>
      </c>
      <c r="C224" s="19" t="s">
        <v>96</v>
      </c>
      <c r="D224" s="2" t="s">
        <v>7</v>
      </c>
      <c r="E224" s="3">
        <v>1</v>
      </c>
    </row>
    <row r="225" spans="1:5">
      <c r="A225" s="19" t="s">
        <v>5097</v>
      </c>
      <c r="B225" s="19">
        <v>20211232</v>
      </c>
      <c r="C225" s="19" t="s">
        <v>96</v>
      </c>
      <c r="D225" s="2" t="s">
        <v>7</v>
      </c>
      <c r="E225" s="3">
        <v>1</v>
      </c>
    </row>
    <row r="226" spans="1:5">
      <c r="A226" s="19" t="s">
        <v>5097</v>
      </c>
      <c r="B226" s="19">
        <v>20211233</v>
      </c>
      <c r="C226" s="19" t="s">
        <v>96</v>
      </c>
      <c r="D226" s="2" t="s">
        <v>7</v>
      </c>
      <c r="E226" s="3">
        <v>1</v>
      </c>
    </row>
    <row r="227" spans="1:5">
      <c r="A227" s="19" t="s">
        <v>5097</v>
      </c>
      <c r="B227" s="19">
        <v>20211234</v>
      </c>
      <c r="C227" s="19" t="s">
        <v>96</v>
      </c>
      <c r="D227" s="2" t="s">
        <v>7</v>
      </c>
      <c r="E227" s="3">
        <v>1</v>
      </c>
    </row>
    <row r="228" spans="1:5">
      <c r="A228" s="19" t="s">
        <v>5097</v>
      </c>
      <c r="B228" s="19">
        <v>20211235</v>
      </c>
      <c r="C228" s="19" t="s">
        <v>96</v>
      </c>
      <c r="D228" s="2" t="s">
        <v>7</v>
      </c>
      <c r="E228" s="3">
        <v>1</v>
      </c>
    </row>
    <row r="229" spans="1:5">
      <c r="A229" s="19" t="s">
        <v>5097</v>
      </c>
      <c r="B229" s="19">
        <v>20211236</v>
      </c>
      <c r="C229" s="19" t="s">
        <v>96</v>
      </c>
      <c r="D229" s="2" t="s">
        <v>7</v>
      </c>
      <c r="E229" s="3">
        <v>1</v>
      </c>
    </row>
    <row r="230" spans="1:5">
      <c r="A230" s="19" t="s">
        <v>5097</v>
      </c>
      <c r="B230" s="19">
        <v>20211237</v>
      </c>
      <c r="C230" s="19" t="s">
        <v>96</v>
      </c>
      <c r="D230" s="2" t="s">
        <v>7</v>
      </c>
      <c r="E230" s="3">
        <v>1</v>
      </c>
    </row>
    <row r="231" spans="1:5">
      <c r="A231" s="19" t="s">
        <v>5097</v>
      </c>
      <c r="B231" s="19">
        <v>20211238</v>
      </c>
      <c r="C231" s="19" t="s">
        <v>96</v>
      </c>
      <c r="D231" s="2" t="s">
        <v>7</v>
      </c>
      <c r="E231" s="3">
        <v>1</v>
      </c>
    </row>
    <row r="232" spans="1:5">
      <c r="A232" s="19" t="s">
        <v>5097</v>
      </c>
      <c r="B232" s="19">
        <v>20211239</v>
      </c>
      <c r="C232" s="19" t="s">
        <v>96</v>
      </c>
      <c r="D232" s="2" t="s">
        <v>7</v>
      </c>
      <c r="E232" s="3">
        <v>1</v>
      </c>
    </row>
    <row r="233" spans="1:5">
      <c r="A233" s="19" t="s">
        <v>5097</v>
      </c>
      <c r="B233" s="19">
        <v>20211240</v>
      </c>
      <c r="C233" s="19" t="s">
        <v>96</v>
      </c>
      <c r="D233" s="2" t="s">
        <v>7</v>
      </c>
      <c r="E233" s="3">
        <v>1</v>
      </c>
    </row>
    <row r="234" spans="1:5">
      <c r="A234" s="19" t="s">
        <v>5097</v>
      </c>
      <c r="B234" s="19">
        <v>20211241</v>
      </c>
      <c r="C234" s="19" t="s">
        <v>96</v>
      </c>
      <c r="D234" s="2" t="s">
        <v>7</v>
      </c>
      <c r="E234" s="3">
        <v>1</v>
      </c>
    </row>
    <row r="235" spans="1:5">
      <c r="A235" s="19" t="s">
        <v>5097</v>
      </c>
      <c r="B235" s="19">
        <v>20211242</v>
      </c>
      <c r="C235" s="19" t="s">
        <v>96</v>
      </c>
      <c r="D235" s="2" t="s">
        <v>7</v>
      </c>
      <c r="E235" s="3">
        <v>1</v>
      </c>
    </row>
    <row r="236" spans="1:5">
      <c r="A236" s="19" t="s">
        <v>5097</v>
      </c>
      <c r="B236" s="19">
        <v>20211243</v>
      </c>
      <c r="C236" s="19" t="s">
        <v>96</v>
      </c>
      <c r="D236" s="2" t="s">
        <v>7</v>
      </c>
      <c r="E236" s="3">
        <v>1</v>
      </c>
    </row>
    <row r="237" spans="1:5">
      <c r="A237" s="19" t="s">
        <v>5097</v>
      </c>
      <c r="B237" s="19">
        <v>20211244</v>
      </c>
      <c r="C237" s="19" t="s">
        <v>96</v>
      </c>
      <c r="D237" s="2" t="s">
        <v>7</v>
      </c>
      <c r="E237" s="3">
        <v>1</v>
      </c>
    </row>
    <row r="238" spans="1:5">
      <c r="A238" s="19" t="s">
        <v>5097</v>
      </c>
      <c r="B238" s="19">
        <v>20211245</v>
      </c>
      <c r="C238" s="19" t="s">
        <v>96</v>
      </c>
      <c r="D238" s="2" t="s">
        <v>7</v>
      </c>
      <c r="E238" s="3">
        <v>1</v>
      </c>
    </row>
    <row r="239" spans="1:5">
      <c r="A239" s="19" t="s">
        <v>5097</v>
      </c>
      <c r="B239" s="19">
        <v>20211246</v>
      </c>
      <c r="C239" s="19" t="s">
        <v>96</v>
      </c>
      <c r="D239" s="2" t="s">
        <v>7</v>
      </c>
      <c r="E239" s="3">
        <v>1</v>
      </c>
    </row>
    <row r="240" spans="1:5">
      <c r="A240" s="19" t="s">
        <v>5097</v>
      </c>
      <c r="B240" s="19">
        <v>20211247</v>
      </c>
      <c r="C240" s="19" t="s">
        <v>96</v>
      </c>
      <c r="D240" s="2" t="s">
        <v>7</v>
      </c>
      <c r="E240" s="3">
        <v>1</v>
      </c>
    </row>
    <row r="241" spans="1:5">
      <c r="A241" s="19" t="s">
        <v>5097</v>
      </c>
      <c r="B241" s="19">
        <v>20211248</v>
      </c>
      <c r="C241" s="19" t="s">
        <v>96</v>
      </c>
      <c r="D241" s="2" t="s">
        <v>7</v>
      </c>
      <c r="E241" s="3">
        <v>1</v>
      </c>
    </row>
    <row r="242" spans="1:5">
      <c r="A242" s="19" t="s">
        <v>5097</v>
      </c>
      <c r="B242" s="19">
        <v>20211249</v>
      </c>
      <c r="C242" s="19" t="s">
        <v>96</v>
      </c>
      <c r="D242" s="2" t="s">
        <v>7</v>
      </c>
      <c r="E242" s="3">
        <v>1</v>
      </c>
    </row>
    <row r="243" spans="1:5">
      <c r="A243" s="19" t="s">
        <v>5097</v>
      </c>
      <c r="B243" s="19">
        <v>20211250</v>
      </c>
      <c r="C243" s="19" t="s">
        <v>96</v>
      </c>
      <c r="D243" s="2" t="s">
        <v>7</v>
      </c>
      <c r="E243" s="3">
        <v>1</v>
      </c>
    </row>
    <row r="244" spans="1:5">
      <c r="A244" s="19" t="s">
        <v>5097</v>
      </c>
      <c r="B244" s="19">
        <v>20211251</v>
      </c>
      <c r="C244" s="19" t="s">
        <v>96</v>
      </c>
      <c r="D244" s="2" t="s">
        <v>7</v>
      </c>
      <c r="E244" s="3">
        <v>1</v>
      </c>
    </row>
    <row r="245" spans="1:5">
      <c r="A245" s="19" t="s">
        <v>5097</v>
      </c>
      <c r="B245" s="19">
        <v>20211252</v>
      </c>
      <c r="C245" s="19" t="s">
        <v>96</v>
      </c>
      <c r="D245" s="2" t="s">
        <v>7</v>
      </c>
      <c r="E245" s="3">
        <v>1</v>
      </c>
    </row>
    <row r="246" spans="1:5">
      <c r="A246" s="19" t="s">
        <v>5097</v>
      </c>
      <c r="B246" s="19">
        <v>20211253</v>
      </c>
      <c r="C246" s="19" t="s">
        <v>96</v>
      </c>
      <c r="D246" s="2" t="s">
        <v>7</v>
      </c>
      <c r="E246" s="3">
        <v>1</v>
      </c>
    </row>
    <row r="247" spans="1:5">
      <c r="A247" s="19" t="s">
        <v>5097</v>
      </c>
      <c r="B247" s="19">
        <v>20211254</v>
      </c>
      <c r="C247" s="19" t="s">
        <v>96</v>
      </c>
      <c r="D247" s="2" t="s">
        <v>7</v>
      </c>
      <c r="E247" s="3">
        <v>1</v>
      </c>
    </row>
    <row r="248" spans="1:5">
      <c r="A248" s="19" t="s">
        <v>5097</v>
      </c>
      <c r="B248" s="19">
        <v>20211255</v>
      </c>
      <c r="C248" s="19" t="s">
        <v>96</v>
      </c>
      <c r="D248" s="2" t="s">
        <v>7</v>
      </c>
      <c r="E248" s="3">
        <v>1</v>
      </c>
    </row>
    <row r="249" spans="1:5">
      <c r="A249" s="19" t="s">
        <v>5097</v>
      </c>
      <c r="B249" s="19">
        <v>20211256</v>
      </c>
      <c r="C249" s="19" t="s">
        <v>96</v>
      </c>
      <c r="D249" s="2" t="s">
        <v>7</v>
      </c>
      <c r="E249" s="3">
        <v>1</v>
      </c>
    </row>
    <row r="250" spans="1:5">
      <c r="A250" s="19" t="s">
        <v>5097</v>
      </c>
      <c r="B250" s="19">
        <v>20211257</v>
      </c>
      <c r="C250" s="19" t="s">
        <v>96</v>
      </c>
      <c r="D250" s="2" t="s">
        <v>7</v>
      </c>
      <c r="E250" s="3">
        <v>1</v>
      </c>
    </row>
    <row r="251" spans="1:5">
      <c r="A251" s="19" t="s">
        <v>5097</v>
      </c>
      <c r="B251" s="19">
        <v>20140185</v>
      </c>
      <c r="C251" s="19" t="s">
        <v>96</v>
      </c>
      <c r="D251" s="2" t="s">
        <v>7</v>
      </c>
      <c r="E251" s="3">
        <v>1</v>
      </c>
    </row>
    <row r="252" spans="1:5">
      <c r="A252" s="19" t="s">
        <v>5097</v>
      </c>
      <c r="B252" s="19">
        <v>20140186</v>
      </c>
      <c r="C252" s="19" t="s">
        <v>96</v>
      </c>
      <c r="D252" s="2" t="s">
        <v>7</v>
      </c>
      <c r="E252" s="3">
        <v>1</v>
      </c>
    </row>
    <row r="253" spans="1:5">
      <c r="A253" s="19" t="s">
        <v>5097</v>
      </c>
      <c r="B253" s="19">
        <v>20140187</v>
      </c>
      <c r="C253" s="19" t="s">
        <v>96</v>
      </c>
      <c r="D253" s="2" t="s">
        <v>7</v>
      </c>
      <c r="E253" s="3">
        <v>1</v>
      </c>
    </row>
    <row r="254" spans="1:5">
      <c r="A254" s="19" t="s">
        <v>5097</v>
      </c>
      <c r="B254" s="19">
        <v>20140188</v>
      </c>
      <c r="C254" s="19" t="s">
        <v>96</v>
      </c>
      <c r="D254" s="2" t="s">
        <v>7</v>
      </c>
      <c r="E254" s="3">
        <v>1</v>
      </c>
    </row>
    <row r="255" spans="1:5">
      <c r="A255" s="19" t="s">
        <v>5097</v>
      </c>
      <c r="B255" s="19">
        <v>20140189</v>
      </c>
      <c r="C255" s="19" t="s">
        <v>96</v>
      </c>
      <c r="D255" s="2" t="s">
        <v>7</v>
      </c>
      <c r="E255" s="3">
        <v>1</v>
      </c>
    </row>
    <row r="256" spans="1:5">
      <c r="A256" s="19" t="s">
        <v>5097</v>
      </c>
      <c r="B256" s="19">
        <v>20140190</v>
      </c>
      <c r="C256" s="19" t="s">
        <v>96</v>
      </c>
      <c r="D256" s="2" t="s">
        <v>7</v>
      </c>
      <c r="E256" s="3">
        <v>1</v>
      </c>
    </row>
    <row r="257" spans="1:5">
      <c r="A257" s="19" t="s">
        <v>5097</v>
      </c>
      <c r="B257" s="19">
        <v>20140191</v>
      </c>
      <c r="C257" s="19" t="s">
        <v>96</v>
      </c>
      <c r="D257" s="2" t="s">
        <v>7</v>
      </c>
      <c r="E257" s="3">
        <v>1</v>
      </c>
    </row>
    <row r="258" spans="1:5">
      <c r="A258" s="19" t="s">
        <v>5097</v>
      </c>
      <c r="B258" s="19">
        <v>20140192</v>
      </c>
      <c r="C258" s="19" t="s">
        <v>96</v>
      </c>
      <c r="D258" s="2" t="s">
        <v>7</v>
      </c>
      <c r="E258" s="3">
        <v>1</v>
      </c>
    </row>
    <row r="259" spans="1:5">
      <c r="A259" s="19" t="s">
        <v>5097</v>
      </c>
      <c r="B259" s="19">
        <v>20140193</v>
      </c>
      <c r="C259" s="19" t="s">
        <v>96</v>
      </c>
      <c r="D259" s="2" t="s">
        <v>7</v>
      </c>
      <c r="E259" s="3">
        <v>1</v>
      </c>
    </row>
    <row r="260" spans="1:5">
      <c r="A260" s="19" t="s">
        <v>5097</v>
      </c>
      <c r="B260" s="19">
        <v>20140194</v>
      </c>
      <c r="C260" s="19" t="s">
        <v>96</v>
      </c>
      <c r="D260" s="2" t="s">
        <v>7</v>
      </c>
      <c r="E260" s="3">
        <v>1</v>
      </c>
    </row>
    <row r="261" spans="1:5">
      <c r="A261" s="19" t="s">
        <v>5097</v>
      </c>
      <c r="B261" s="19">
        <v>20140195</v>
      </c>
      <c r="C261" s="19" t="s">
        <v>96</v>
      </c>
      <c r="D261" s="2" t="s">
        <v>7</v>
      </c>
      <c r="E261" s="3">
        <v>1</v>
      </c>
    </row>
    <row r="262" spans="1:5">
      <c r="A262" s="19" t="s">
        <v>5097</v>
      </c>
      <c r="B262" s="19">
        <v>20140196</v>
      </c>
      <c r="C262" s="19" t="s">
        <v>96</v>
      </c>
      <c r="D262" s="2" t="s">
        <v>7</v>
      </c>
      <c r="E262" s="3">
        <v>1</v>
      </c>
    </row>
    <row r="263" spans="1:5">
      <c r="A263" s="19" t="s">
        <v>5097</v>
      </c>
      <c r="B263" s="19">
        <v>20140197</v>
      </c>
      <c r="C263" s="19" t="s">
        <v>96</v>
      </c>
      <c r="D263" s="2" t="s">
        <v>7</v>
      </c>
      <c r="E263" s="3">
        <v>1</v>
      </c>
    </row>
    <row r="264" spans="1:5">
      <c r="A264" s="19" t="s">
        <v>5097</v>
      </c>
      <c r="B264" s="19">
        <v>20140198</v>
      </c>
      <c r="C264" s="19" t="s">
        <v>96</v>
      </c>
      <c r="D264" s="2" t="s">
        <v>7</v>
      </c>
      <c r="E264" s="3">
        <v>1</v>
      </c>
    </row>
    <row r="265" spans="1:5">
      <c r="A265" s="19" t="s">
        <v>5097</v>
      </c>
      <c r="B265" s="19">
        <v>20140199</v>
      </c>
      <c r="C265" s="19" t="s">
        <v>96</v>
      </c>
      <c r="D265" s="2" t="s">
        <v>7</v>
      </c>
      <c r="E265" s="3">
        <v>1</v>
      </c>
    </row>
    <row r="266" spans="1:5">
      <c r="A266" s="19" t="s">
        <v>5097</v>
      </c>
      <c r="B266" s="19">
        <v>20140200</v>
      </c>
      <c r="C266" s="19" t="s">
        <v>96</v>
      </c>
      <c r="D266" s="2" t="s">
        <v>7</v>
      </c>
      <c r="E266" s="3">
        <v>1</v>
      </c>
    </row>
    <row r="267" spans="1:5">
      <c r="A267" s="19" t="s">
        <v>5097</v>
      </c>
      <c r="B267" s="19">
        <v>20140201</v>
      </c>
      <c r="C267" s="19" t="s">
        <v>96</v>
      </c>
      <c r="D267" s="2" t="s">
        <v>7</v>
      </c>
      <c r="E267" s="3">
        <v>1</v>
      </c>
    </row>
    <row r="268" spans="1:5">
      <c r="A268" s="19" t="s">
        <v>5097</v>
      </c>
      <c r="B268" s="19">
        <v>20140202</v>
      </c>
      <c r="C268" s="19" t="s">
        <v>96</v>
      </c>
      <c r="D268" s="2" t="s">
        <v>7</v>
      </c>
      <c r="E268" s="3">
        <v>1</v>
      </c>
    </row>
    <row r="269" spans="1:5">
      <c r="A269" s="19" t="s">
        <v>5097</v>
      </c>
      <c r="B269" s="19">
        <v>20140203</v>
      </c>
      <c r="C269" s="19" t="s">
        <v>96</v>
      </c>
      <c r="D269" s="2" t="s">
        <v>7</v>
      </c>
      <c r="E269" s="3">
        <v>1</v>
      </c>
    </row>
    <row r="270" spans="1:5">
      <c r="A270" s="19" t="s">
        <v>5097</v>
      </c>
      <c r="B270" s="19">
        <v>20140204</v>
      </c>
      <c r="C270" s="19" t="s">
        <v>96</v>
      </c>
      <c r="D270" s="2" t="s">
        <v>7</v>
      </c>
      <c r="E270" s="3">
        <v>1</v>
      </c>
    </row>
    <row r="271" spans="1:5">
      <c r="A271" s="19" t="s">
        <v>5097</v>
      </c>
      <c r="B271" s="19">
        <v>20140205</v>
      </c>
      <c r="C271" s="19" t="s">
        <v>96</v>
      </c>
      <c r="D271" s="2" t="s">
        <v>7</v>
      </c>
      <c r="E271" s="3">
        <v>1</v>
      </c>
    </row>
    <row r="272" spans="1:5">
      <c r="A272" s="19" t="s">
        <v>5097</v>
      </c>
      <c r="B272" s="19">
        <v>20140206</v>
      </c>
      <c r="C272" s="19" t="s">
        <v>96</v>
      </c>
      <c r="D272" s="2" t="s">
        <v>7</v>
      </c>
      <c r="E272" s="3">
        <v>1</v>
      </c>
    </row>
    <row r="273" spans="1:5">
      <c r="A273" s="19" t="s">
        <v>5097</v>
      </c>
      <c r="B273" s="19">
        <v>20140207</v>
      </c>
      <c r="C273" s="19" t="s">
        <v>96</v>
      </c>
      <c r="D273" s="2" t="s">
        <v>7</v>
      </c>
      <c r="E273" s="3">
        <v>1</v>
      </c>
    </row>
    <row r="274" spans="1:5">
      <c r="A274" s="19" t="s">
        <v>5097</v>
      </c>
      <c r="B274" s="19">
        <v>20140208</v>
      </c>
      <c r="C274" s="19" t="s">
        <v>96</v>
      </c>
      <c r="D274" s="2" t="s">
        <v>7</v>
      </c>
      <c r="E274" s="3">
        <v>1</v>
      </c>
    </row>
    <row r="275" spans="1:5">
      <c r="A275" s="19" t="s">
        <v>5097</v>
      </c>
      <c r="B275" s="19">
        <v>20140209</v>
      </c>
      <c r="C275" s="19" t="s">
        <v>96</v>
      </c>
      <c r="D275" s="2" t="s">
        <v>7</v>
      </c>
      <c r="E275" s="3">
        <v>1</v>
      </c>
    </row>
    <row r="276" spans="1:5">
      <c r="A276" s="19" t="s">
        <v>5097</v>
      </c>
      <c r="B276" s="19">
        <v>20140210</v>
      </c>
      <c r="C276" s="19" t="s">
        <v>96</v>
      </c>
      <c r="D276" s="2" t="s">
        <v>7</v>
      </c>
      <c r="E276" s="3">
        <v>1</v>
      </c>
    </row>
    <row r="277" spans="1:5">
      <c r="A277" s="19" t="s">
        <v>5097</v>
      </c>
      <c r="B277" s="19">
        <v>20140211</v>
      </c>
      <c r="C277" s="19" t="s">
        <v>96</v>
      </c>
      <c r="D277" s="2" t="s">
        <v>7</v>
      </c>
      <c r="E277" s="3">
        <v>1</v>
      </c>
    </row>
    <row r="278" spans="1:5">
      <c r="A278" s="19" t="s">
        <v>5097</v>
      </c>
      <c r="B278" s="19">
        <v>20140212</v>
      </c>
      <c r="C278" s="19" t="s">
        <v>96</v>
      </c>
      <c r="D278" s="2" t="s">
        <v>7</v>
      </c>
      <c r="E278" s="3">
        <v>1</v>
      </c>
    </row>
    <row r="279" spans="1:5">
      <c r="A279" s="19" t="s">
        <v>5097</v>
      </c>
      <c r="B279" s="19">
        <v>20140213</v>
      </c>
      <c r="C279" s="19" t="s">
        <v>96</v>
      </c>
      <c r="D279" s="2" t="s">
        <v>7</v>
      </c>
      <c r="E279" s="3">
        <v>1</v>
      </c>
    </row>
    <row r="280" spans="1:5">
      <c r="A280" s="19" t="s">
        <v>5097</v>
      </c>
      <c r="B280" s="19">
        <v>20140214</v>
      </c>
      <c r="C280" s="19" t="s">
        <v>96</v>
      </c>
      <c r="D280" s="2" t="s">
        <v>7</v>
      </c>
      <c r="E280" s="3">
        <v>1</v>
      </c>
    </row>
    <row r="281" spans="1:5">
      <c r="A281" s="19" t="s">
        <v>5097</v>
      </c>
      <c r="B281" s="19">
        <v>20140215</v>
      </c>
      <c r="C281" s="19" t="s">
        <v>96</v>
      </c>
      <c r="D281" s="2" t="s">
        <v>7</v>
      </c>
      <c r="E281" s="3">
        <v>1</v>
      </c>
    </row>
    <row r="282" spans="1:5">
      <c r="A282" s="19" t="s">
        <v>5097</v>
      </c>
      <c r="B282" s="19">
        <v>20140216</v>
      </c>
      <c r="C282" s="19" t="s">
        <v>96</v>
      </c>
      <c r="D282" s="2" t="s">
        <v>7</v>
      </c>
      <c r="E282" s="3">
        <v>1</v>
      </c>
    </row>
    <row r="283" spans="1:5">
      <c r="A283" s="19" t="s">
        <v>5097</v>
      </c>
      <c r="B283" s="19">
        <v>20140217</v>
      </c>
      <c r="C283" s="19" t="s">
        <v>96</v>
      </c>
      <c r="D283" s="2" t="s">
        <v>7</v>
      </c>
      <c r="E283" s="3">
        <v>1</v>
      </c>
    </row>
    <row r="284" spans="1:5">
      <c r="A284" s="19" t="s">
        <v>5097</v>
      </c>
      <c r="B284" s="19">
        <v>20140218</v>
      </c>
      <c r="C284" s="19" t="s">
        <v>96</v>
      </c>
      <c r="D284" s="2" t="s">
        <v>7</v>
      </c>
      <c r="E284" s="3">
        <v>1</v>
      </c>
    </row>
    <row r="285" spans="1:5">
      <c r="A285" s="19" t="s">
        <v>5097</v>
      </c>
      <c r="B285" s="19">
        <v>20140219</v>
      </c>
      <c r="C285" s="19" t="s">
        <v>96</v>
      </c>
      <c r="D285" s="2" t="s">
        <v>7</v>
      </c>
      <c r="E285" s="3">
        <v>1</v>
      </c>
    </row>
    <row r="286" spans="1:5">
      <c r="A286" s="19" t="s">
        <v>5097</v>
      </c>
      <c r="B286" s="19">
        <v>20140220</v>
      </c>
      <c r="C286" s="19" t="s">
        <v>96</v>
      </c>
      <c r="D286" s="2" t="s">
        <v>7</v>
      </c>
      <c r="E286" s="3">
        <v>1</v>
      </c>
    </row>
    <row r="287" spans="1:5">
      <c r="A287" s="19" t="s">
        <v>5097</v>
      </c>
      <c r="B287" s="19">
        <v>20140221</v>
      </c>
      <c r="C287" s="19" t="s">
        <v>96</v>
      </c>
      <c r="D287" s="2" t="s">
        <v>7</v>
      </c>
      <c r="E287" s="3">
        <v>1</v>
      </c>
    </row>
    <row r="288" spans="1:5">
      <c r="A288" s="19" t="s">
        <v>5097</v>
      </c>
      <c r="B288" s="19">
        <v>20140222</v>
      </c>
      <c r="C288" s="19" t="s">
        <v>96</v>
      </c>
      <c r="D288" s="2" t="s">
        <v>7</v>
      </c>
      <c r="E288" s="3">
        <v>1</v>
      </c>
    </row>
    <row r="289" spans="1:5">
      <c r="A289" s="19" t="s">
        <v>5097</v>
      </c>
      <c r="B289" s="19">
        <v>20140223</v>
      </c>
      <c r="C289" s="19" t="s">
        <v>96</v>
      </c>
      <c r="D289" s="2" t="s">
        <v>7</v>
      </c>
      <c r="E289" s="3">
        <v>1</v>
      </c>
    </row>
    <row r="290" spans="1:5">
      <c r="A290" s="19" t="s">
        <v>5097</v>
      </c>
      <c r="B290" s="19">
        <v>20140224</v>
      </c>
      <c r="C290" s="19" t="s">
        <v>96</v>
      </c>
      <c r="D290" s="2" t="s">
        <v>7</v>
      </c>
      <c r="E290" s="3">
        <v>1</v>
      </c>
    </row>
    <row r="291" spans="1:5">
      <c r="A291" s="19" t="s">
        <v>5097</v>
      </c>
      <c r="B291" s="19">
        <v>20140225</v>
      </c>
      <c r="C291" s="19" t="s">
        <v>96</v>
      </c>
      <c r="D291" s="2" t="s">
        <v>7</v>
      </c>
      <c r="E291" s="3">
        <v>1</v>
      </c>
    </row>
    <row r="292" spans="1:5">
      <c r="A292" s="19" t="s">
        <v>5097</v>
      </c>
      <c r="B292" s="19">
        <v>20140226</v>
      </c>
      <c r="C292" s="19" t="s">
        <v>96</v>
      </c>
      <c r="D292" s="2" t="s">
        <v>7</v>
      </c>
      <c r="E292" s="3">
        <v>1</v>
      </c>
    </row>
    <row r="293" spans="1:5">
      <c r="A293" s="19" t="s">
        <v>5097</v>
      </c>
      <c r="B293" s="19">
        <v>20140227</v>
      </c>
      <c r="C293" s="19" t="s">
        <v>96</v>
      </c>
      <c r="D293" s="2" t="s">
        <v>7</v>
      </c>
      <c r="E293" s="3">
        <v>1</v>
      </c>
    </row>
    <row r="294" spans="1:5">
      <c r="A294" s="19" t="s">
        <v>5097</v>
      </c>
      <c r="B294" s="19">
        <v>20140228</v>
      </c>
      <c r="C294" s="19" t="s">
        <v>96</v>
      </c>
      <c r="D294" s="2" t="s">
        <v>7</v>
      </c>
      <c r="E294" s="3">
        <v>1</v>
      </c>
    </row>
    <row r="295" spans="1:5">
      <c r="A295" s="19" t="s">
        <v>5097</v>
      </c>
      <c r="B295" s="19">
        <v>20140229</v>
      </c>
      <c r="C295" s="19" t="s">
        <v>96</v>
      </c>
      <c r="D295" s="2" t="s">
        <v>7</v>
      </c>
      <c r="E295" s="3">
        <v>1</v>
      </c>
    </row>
    <row r="296" spans="1:5">
      <c r="A296" s="19" t="s">
        <v>5097</v>
      </c>
      <c r="B296" s="19">
        <v>20140230</v>
      </c>
      <c r="C296" s="19" t="s">
        <v>96</v>
      </c>
      <c r="D296" s="2" t="s">
        <v>7</v>
      </c>
      <c r="E296" s="3">
        <v>1</v>
      </c>
    </row>
    <row r="297" spans="1:5">
      <c r="A297" s="19" t="s">
        <v>5097</v>
      </c>
      <c r="B297" s="19">
        <v>20140231</v>
      </c>
      <c r="C297" s="19" t="s">
        <v>96</v>
      </c>
      <c r="D297" s="2" t="s">
        <v>7</v>
      </c>
      <c r="E297" s="3">
        <v>1</v>
      </c>
    </row>
    <row r="298" spans="1:5">
      <c r="A298" s="19" t="s">
        <v>5097</v>
      </c>
      <c r="B298" s="19">
        <v>20140232</v>
      </c>
      <c r="C298" s="19" t="s">
        <v>96</v>
      </c>
      <c r="D298" s="2" t="s">
        <v>7</v>
      </c>
      <c r="E298" s="3">
        <v>1</v>
      </c>
    </row>
    <row r="299" spans="1:5">
      <c r="A299" s="19" t="s">
        <v>5097</v>
      </c>
      <c r="B299" s="19">
        <v>20140233</v>
      </c>
      <c r="C299" s="19" t="s">
        <v>96</v>
      </c>
      <c r="D299" s="2" t="s">
        <v>7</v>
      </c>
      <c r="E299" s="3">
        <v>1</v>
      </c>
    </row>
    <row r="300" spans="1:5">
      <c r="A300" s="19" t="s">
        <v>5097</v>
      </c>
      <c r="B300" s="19">
        <v>20140234</v>
      </c>
      <c r="C300" s="19" t="s">
        <v>96</v>
      </c>
      <c r="D300" s="2" t="s">
        <v>7</v>
      </c>
      <c r="E300" s="3">
        <v>1</v>
      </c>
    </row>
    <row r="301" spans="1:5">
      <c r="A301" s="19" t="s">
        <v>5097</v>
      </c>
      <c r="B301" s="19">
        <v>20140235</v>
      </c>
      <c r="C301" s="19" t="s">
        <v>96</v>
      </c>
      <c r="D301" s="2" t="s">
        <v>7</v>
      </c>
      <c r="E301" s="3">
        <v>1</v>
      </c>
    </row>
    <row r="302" spans="1:5">
      <c r="A302" s="19" t="s">
        <v>5097</v>
      </c>
      <c r="B302" s="19">
        <v>20140236</v>
      </c>
      <c r="C302" s="19" t="s">
        <v>96</v>
      </c>
      <c r="D302" s="2" t="s">
        <v>7</v>
      </c>
      <c r="E302" s="3">
        <v>1</v>
      </c>
    </row>
    <row r="303" spans="1:5">
      <c r="A303" s="19" t="s">
        <v>5097</v>
      </c>
      <c r="B303" s="19">
        <v>20140237</v>
      </c>
      <c r="C303" s="19" t="s">
        <v>96</v>
      </c>
      <c r="D303" s="2" t="s">
        <v>7</v>
      </c>
      <c r="E303" s="3">
        <v>1</v>
      </c>
    </row>
    <row r="304" spans="1:5">
      <c r="A304" s="19" t="s">
        <v>5097</v>
      </c>
      <c r="B304" s="19">
        <v>20140238</v>
      </c>
      <c r="C304" s="19" t="s">
        <v>96</v>
      </c>
      <c r="D304" s="2" t="s">
        <v>7</v>
      </c>
      <c r="E304" s="3">
        <v>1</v>
      </c>
    </row>
    <row r="305" spans="1:5">
      <c r="A305" s="19" t="s">
        <v>5097</v>
      </c>
      <c r="B305" s="19">
        <v>20140239</v>
      </c>
      <c r="C305" s="19" t="s">
        <v>96</v>
      </c>
      <c r="D305" s="2" t="s">
        <v>7</v>
      </c>
      <c r="E305" s="3">
        <v>1</v>
      </c>
    </row>
    <row r="306" spans="1:5">
      <c r="A306" s="19" t="s">
        <v>5097</v>
      </c>
      <c r="B306" s="19">
        <v>20140240</v>
      </c>
      <c r="C306" s="19" t="s">
        <v>96</v>
      </c>
      <c r="D306" s="2" t="s">
        <v>7</v>
      </c>
      <c r="E306" s="3">
        <v>1</v>
      </c>
    </row>
    <row r="307" spans="1:5">
      <c r="A307" s="19" t="s">
        <v>5097</v>
      </c>
      <c r="B307" s="19">
        <v>20140307</v>
      </c>
      <c r="C307" s="19" t="s">
        <v>95</v>
      </c>
      <c r="D307" s="2" t="s">
        <v>7</v>
      </c>
      <c r="E307" s="3">
        <v>1</v>
      </c>
    </row>
    <row r="308" spans="1:5">
      <c r="A308" s="19" t="s">
        <v>5097</v>
      </c>
      <c r="B308" s="19">
        <v>20140308</v>
      </c>
      <c r="C308" s="19" t="s">
        <v>95</v>
      </c>
      <c r="D308" s="2" t="s">
        <v>7</v>
      </c>
      <c r="E308" s="3">
        <v>1</v>
      </c>
    </row>
    <row r="309" spans="1:5">
      <c r="A309" s="19" t="s">
        <v>5097</v>
      </c>
      <c r="B309" s="19">
        <v>20140309</v>
      </c>
      <c r="C309" s="19" t="s">
        <v>95</v>
      </c>
      <c r="D309" s="2" t="s">
        <v>7</v>
      </c>
      <c r="E309" s="3">
        <v>1</v>
      </c>
    </row>
    <row r="310" spans="1:5">
      <c r="A310" s="19" t="s">
        <v>5097</v>
      </c>
      <c r="B310" s="19">
        <v>20140314</v>
      </c>
      <c r="C310" s="19" t="s">
        <v>49</v>
      </c>
      <c r="D310" s="2" t="s">
        <v>7</v>
      </c>
      <c r="E310" s="3">
        <v>1</v>
      </c>
    </row>
    <row r="311" spans="1:5">
      <c r="A311" s="19" t="s">
        <v>5097</v>
      </c>
      <c r="B311" s="19">
        <v>20140315</v>
      </c>
      <c r="C311" s="19" t="s">
        <v>5128</v>
      </c>
      <c r="D311" s="2" t="s">
        <v>7</v>
      </c>
      <c r="E311" s="3">
        <v>1</v>
      </c>
    </row>
    <row r="312" spans="1:5">
      <c r="A312" s="19" t="s">
        <v>5097</v>
      </c>
      <c r="B312" s="19">
        <v>20160606</v>
      </c>
      <c r="C312" s="19" t="s">
        <v>5129</v>
      </c>
      <c r="D312" s="2" t="s">
        <v>7</v>
      </c>
      <c r="E312" s="3">
        <v>1</v>
      </c>
    </row>
    <row r="313" spans="1:5">
      <c r="A313" s="19" t="s">
        <v>5097</v>
      </c>
      <c r="B313" s="19">
        <v>20140241</v>
      </c>
      <c r="C313" s="19" t="s">
        <v>96</v>
      </c>
      <c r="D313" s="2" t="s">
        <v>7</v>
      </c>
      <c r="E313" s="3">
        <v>1</v>
      </c>
    </row>
    <row r="314" spans="1:5">
      <c r="A314" s="19" t="s">
        <v>5097</v>
      </c>
      <c r="B314" s="19">
        <v>20140242</v>
      </c>
      <c r="C314" s="19" t="s">
        <v>96</v>
      </c>
      <c r="D314" s="2" t="s">
        <v>7</v>
      </c>
      <c r="E314" s="3">
        <v>1</v>
      </c>
    </row>
    <row r="315" spans="1:5">
      <c r="A315" s="19" t="s">
        <v>5097</v>
      </c>
      <c r="B315" s="19">
        <v>20140243</v>
      </c>
      <c r="C315" s="19" t="s">
        <v>96</v>
      </c>
      <c r="D315" s="2" t="s">
        <v>7</v>
      </c>
      <c r="E315" s="3">
        <v>1</v>
      </c>
    </row>
    <row r="316" spans="1:5">
      <c r="A316" s="19" t="s">
        <v>5097</v>
      </c>
      <c r="B316" s="19">
        <v>20140244</v>
      </c>
      <c r="C316" s="19" t="s">
        <v>96</v>
      </c>
      <c r="D316" s="2" t="s">
        <v>7</v>
      </c>
      <c r="E316" s="3">
        <v>1</v>
      </c>
    </row>
    <row r="317" spans="1:5">
      <c r="A317" s="19" t="s">
        <v>5097</v>
      </c>
      <c r="B317" s="19">
        <v>20140245</v>
      </c>
      <c r="C317" s="19" t="s">
        <v>96</v>
      </c>
      <c r="D317" s="2" t="s">
        <v>7</v>
      </c>
      <c r="E317" s="3">
        <v>1</v>
      </c>
    </row>
    <row r="318" spans="1:5">
      <c r="A318" s="19" t="s">
        <v>5097</v>
      </c>
      <c r="B318" s="19">
        <v>20140246</v>
      </c>
      <c r="C318" s="19" t="s">
        <v>96</v>
      </c>
      <c r="D318" s="2" t="s">
        <v>7</v>
      </c>
      <c r="E318" s="3">
        <v>1</v>
      </c>
    </row>
    <row r="319" spans="1:5">
      <c r="A319" s="19" t="s">
        <v>5097</v>
      </c>
      <c r="B319" s="19">
        <v>20140247</v>
      </c>
      <c r="C319" s="19" t="s">
        <v>96</v>
      </c>
      <c r="D319" s="2" t="s">
        <v>7</v>
      </c>
      <c r="E319" s="3">
        <v>1</v>
      </c>
    </row>
    <row r="320" spans="1:5">
      <c r="A320" s="19" t="s">
        <v>5097</v>
      </c>
      <c r="B320" s="19">
        <v>20140248</v>
      </c>
      <c r="C320" s="19" t="s">
        <v>96</v>
      </c>
      <c r="D320" s="2" t="s">
        <v>7</v>
      </c>
      <c r="E320" s="3">
        <v>1</v>
      </c>
    </row>
    <row r="321" spans="1:5">
      <c r="A321" s="19" t="s">
        <v>5097</v>
      </c>
      <c r="B321" s="19">
        <v>20140249</v>
      </c>
      <c r="C321" s="19" t="s">
        <v>96</v>
      </c>
      <c r="D321" s="2" t="s">
        <v>7</v>
      </c>
      <c r="E321" s="3">
        <v>1</v>
      </c>
    </row>
    <row r="322" spans="1:5">
      <c r="A322" s="19" t="s">
        <v>5097</v>
      </c>
      <c r="B322" s="19">
        <v>20140250</v>
      </c>
      <c r="C322" s="19" t="s">
        <v>96</v>
      </c>
      <c r="D322" s="2" t="s">
        <v>7</v>
      </c>
      <c r="E322" s="3">
        <v>1</v>
      </c>
    </row>
    <row r="323" spans="1:5">
      <c r="A323" s="19" t="s">
        <v>5097</v>
      </c>
      <c r="B323" s="19">
        <v>20140251</v>
      </c>
      <c r="C323" s="19" t="s">
        <v>96</v>
      </c>
      <c r="D323" s="2" t="s">
        <v>7</v>
      </c>
      <c r="E323" s="3">
        <v>1</v>
      </c>
    </row>
    <row r="324" spans="1:5">
      <c r="A324" s="19" t="s">
        <v>5097</v>
      </c>
      <c r="B324" s="19">
        <v>20140252</v>
      </c>
      <c r="C324" s="19" t="s">
        <v>96</v>
      </c>
      <c r="D324" s="2" t="s">
        <v>7</v>
      </c>
      <c r="E324" s="3">
        <v>1</v>
      </c>
    </row>
    <row r="325" spans="1:5">
      <c r="A325" s="19" t="s">
        <v>5097</v>
      </c>
      <c r="B325" s="19">
        <v>20140253</v>
      </c>
      <c r="C325" s="19" t="s">
        <v>96</v>
      </c>
      <c r="D325" s="2" t="s">
        <v>7</v>
      </c>
      <c r="E325" s="3">
        <v>1</v>
      </c>
    </row>
    <row r="326" spans="1:5">
      <c r="A326" s="19" t="s">
        <v>5097</v>
      </c>
      <c r="B326" s="19">
        <v>20140254</v>
      </c>
      <c r="C326" s="19" t="s">
        <v>96</v>
      </c>
      <c r="D326" s="2" t="s">
        <v>7</v>
      </c>
      <c r="E326" s="3">
        <v>1</v>
      </c>
    </row>
    <row r="327" spans="1:5">
      <c r="A327" s="19" t="s">
        <v>5097</v>
      </c>
      <c r="B327" s="19">
        <v>20140255</v>
      </c>
      <c r="C327" s="19" t="s">
        <v>96</v>
      </c>
      <c r="D327" s="2" t="s">
        <v>7</v>
      </c>
      <c r="E327" s="3">
        <v>1</v>
      </c>
    </row>
    <row r="328" spans="1:5">
      <c r="A328" s="19" t="s">
        <v>5097</v>
      </c>
      <c r="B328" s="19">
        <v>20140256</v>
      </c>
      <c r="C328" s="19" t="s">
        <v>96</v>
      </c>
      <c r="D328" s="2" t="s">
        <v>7</v>
      </c>
      <c r="E328" s="3">
        <v>1</v>
      </c>
    </row>
    <row r="329" spans="1:5">
      <c r="A329" s="19" t="s">
        <v>5097</v>
      </c>
      <c r="B329" s="19">
        <v>20140257</v>
      </c>
      <c r="C329" s="19" t="s">
        <v>96</v>
      </c>
      <c r="D329" s="2" t="s">
        <v>7</v>
      </c>
      <c r="E329" s="3">
        <v>1</v>
      </c>
    </row>
    <row r="330" spans="1:5">
      <c r="A330" s="19" t="s">
        <v>5097</v>
      </c>
      <c r="B330" s="19">
        <v>20140258</v>
      </c>
      <c r="C330" s="19" t="s">
        <v>96</v>
      </c>
      <c r="D330" s="2" t="s">
        <v>7</v>
      </c>
      <c r="E330" s="3">
        <v>1</v>
      </c>
    </row>
    <row r="331" spans="1:5">
      <c r="A331" s="19" t="s">
        <v>5097</v>
      </c>
      <c r="B331" s="19">
        <v>20140259</v>
      </c>
      <c r="C331" s="19" t="s">
        <v>96</v>
      </c>
      <c r="D331" s="2" t="s">
        <v>7</v>
      </c>
      <c r="E331" s="3">
        <v>1</v>
      </c>
    </row>
    <row r="332" spans="1:5">
      <c r="A332" s="19" t="s">
        <v>5097</v>
      </c>
      <c r="B332" s="19">
        <v>20140260</v>
      </c>
      <c r="C332" s="19" t="s">
        <v>96</v>
      </c>
      <c r="D332" s="2" t="s">
        <v>7</v>
      </c>
      <c r="E332" s="3">
        <v>1</v>
      </c>
    </row>
    <row r="333" spans="1:5">
      <c r="A333" s="19" t="s">
        <v>5097</v>
      </c>
      <c r="B333" s="19">
        <v>20140261</v>
      </c>
      <c r="C333" s="19" t="s">
        <v>96</v>
      </c>
      <c r="D333" s="2" t="s">
        <v>7</v>
      </c>
      <c r="E333" s="3">
        <v>1</v>
      </c>
    </row>
    <row r="334" spans="1:5">
      <c r="A334" s="19" t="s">
        <v>5097</v>
      </c>
      <c r="B334" s="19">
        <v>20140262</v>
      </c>
      <c r="C334" s="19" t="s">
        <v>96</v>
      </c>
      <c r="D334" s="2" t="s">
        <v>7</v>
      </c>
      <c r="E334" s="3">
        <v>1</v>
      </c>
    </row>
    <row r="335" spans="1:5">
      <c r="A335" s="19" t="s">
        <v>5097</v>
      </c>
      <c r="B335" s="19">
        <v>20140263</v>
      </c>
      <c r="C335" s="19" t="s">
        <v>96</v>
      </c>
      <c r="D335" s="2" t="s">
        <v>7</v>
      </c>
      <c r="E335" s="3">
        <v>1</v>
      </c>
    </row>
    <row r="336" spans="1:5">
      <c r="A336" s="19" t="s">
        <v>5097</v>
      </c>
      <c r="B336" s="19">
        <v>20140264</v>
      </c>
      <c r="C336" s="19" t="s">
        <v>96</v>
      </c>
      <c r="D336" s="2" t="s">
        <v>7</v>
      </c>
      <c r="E336" s="3">
        <v>1</v>
      </c>
    </row>
    <row r="337" spans="1:5">
      <c r="A337" s="19" t="s">
        <v>5097</v>
      </c>
      <c r="B337" s="19">
        <v>20140265</v>
      </c>
      <c r="C337" s="19" t="s">
        <v>96</v>
      </c>
      <c r="D337" s="2" t="s">
        <v>7</v>
      </c>
      <c r="E337" s="3">
        <v>1</v>
      </c>
    </row>
    <row r="338" spans="1:5">
      <c r="A338" s="19" t="s">
        <v>5097</v>
      </c>
      <c r="B338" s="19">
        <v>20140266</v>
      </c>
      <c r="C338" s="19" t="s">
        <v>96</v>
      </c>
      <c r="D338" s="2" t="s">
        <v>7</v>
      </c>
      <c r="E338" s="3">
        <v>1</v>
      </c>
    </row>
    <row r="339" spans="1:5">
      <c r="A339" s="19" t="s">
        <v>5097</v>
      </c>
      <c r="B339" s="19">
        <v>20140267</v>
      </c>
      <c r="C339" s="19" t="s">
        <v>96</v>
      </c>
      <c r="D339" s="2" t="s">
        <v>7</v>
      </c>
      <c r="E339" s="3">
        <v>1</v>
      </c>
    </row>
    <row r="340" spans="1:5">
      <c r="A340" s="19" t="s">
        <v>5097</v>
      </c>
      <c r="B340" s="19">
        <v>20140268</v>
      </c>
      <c r="C340" s="19" t="s">
        <v>96</v>
      </c>
      <c r="D340" s="2" t="s">
        <v>7</v>
      </c>
      <c r="E340" s="3">
        <v>1</v>
      </c>
    </row>
    <row r="341" spans="1:5">
      <c r="A341" s="19" t="s">
        <v>5097</v>
      </c>
      <c r="B341" s="19">
        <v>20140269</v>
      </c>
      <c r="C341" s="19" t="s">
        <v>96</v>
      </c>
      <c r="D341" s="2" t="s">
        <v>7</v>
      </c>
      <c r="E341" s="3">
        <v>1</v>
      </c>
    </row>
    <row r="342" spans="1:5">
      <c r="A342" s="19" t="s">
        <v>5097</v>
      </c>
      <c r="B342" s="19">
        <v>20140270</v>
      </c>
      <c r="C342" s="19" t="s">
        <v>96</v>
      </c>
      <c r="D342" s="2" t="s">
        <v>7</v>
      </c>
      <c r="E342" s="3">
        <v>1</v>
      </c>
    </row>
    <row r="343" spans="1:5">
      <c r="A343" s="19" t="s">
        <v>5097</v>
      </c>
      <c r="B343" s="19">
        <v>20140271</v>
      </c>
      <c r="C343" s="19" t="s">
        <v>96</v>
      </c>
      <c r="D343" s="2" t="s">
        <v>7</v>
      </c>
      <c r="E343" s="3">
        <v>1</v>
      </c>
    </row>
    <row r="344" spans="1:5">
      <c r="A344" s="19" t="s">
        <v>5097</v>
      </c>
      <c r="B344" s="19">
        <v>20140272</v>
      </c>
      <c r="C344" s="19" t="s">
        <v>96</v>
      </c>
      <c r="D344" s="2" t="s">
        <v>7</v>
      </c>
      <c r="E344" s="3">
        <v>1</v>
      </c>
    </row>
    <row r="345" spans="1:5">
      <c r="A345" s="19" t="s">
        <v>5097</v>
      </c>
      <c r="B345" s="19">
        <v>20140273</v>
      </c>
      <c r="C345" s="19" t="s">
        <v>96</v>
      </c>
      <c r="D345" s="2" t="s">
        <v>7</v>
      </c>
      <c r="E345" s="3">
        <v>1</v>
      </c>
    </row>
    <row r="346" spans="1:5">
      <c r="A346" s="19" t="s">
        <v>5097</v>
      </c>
      <c r="B346" s="19">
        <v>20140274</v>
      </c>
      <c r="C346" s="19" t="s">
        <v>96</v>
      </c>
      <c r="D346" s="2" t="s">
        <v>7</v>
      </c>
      <c r="E346" s="3">
        <v>1</v>
      </c>
    </row>
    <row r="347" spans="1:5">
      <c r="A347" s="19" t="s">
        <v>5097</v>
      </c>
      <c r="B347" s="19">
        <v>20140275</v>
      </c>
      <c r="C347" s="19" t="s">
        <v>96</v>
      </c>
      <c r="D347" s="2" t="s">
        <v>7</v>
      </c>
      <c r="E347" s="3">
        <v>1</v>
      </c>
    </row>
    <row r="348" spans="1:5">
      <c r="A348" s="19" t="s">
        <v>5097</v>
      </c>
      <c r="B348" s="19">
        <v>20140276</v>
      </c>
      <c r="C348" s="19" t="s">
        <v>96</v>
      </c>
      <c r="D348" s="2" t="s">
        <v>7</v>
      </c>
      <c r="E348" s="3">
        <v>1</v>
      </c>
    </row>
    <row r="349" spans="1:5">
      <c r="A349" s="19" t="s">
        <v>5097</v>
      </c>
      <c r="B349" s="19">
        <v>20140277</v>
      </c>
      <c r="C349" s="19" t="s">
        <v>96</v>
      </c>
      <c r="D349" s="2" t="s">
        <v>7</v>
      </c>
      <c r="E349" s="3">
        <v>1</v>
      </c>
    </row>
    <row r="350" spans="1:5">
      <c r="A350" s="19" t="s">
        <v>5097</v>
      </c>
      <c r="B350" s="19">
        <v>20140278</v>
      </c>
      <c r="C350" s="19" t="s">
        <v>96</v>
      </c>
      <c r="D350" s="2" t="s">
        <v>7</v>
      </c>
      <c r="E350" s="3">
        <v>1</v>
      </c>
    </row>
    <row r="351" spans="1:5">
      <c r="A351" s="19" t="s">
        <v>5097</v>
      </c>
      <c r="B351" s="19">
        <v>20140279</v>
      </c>
      <c r="C351" s="19" t="s">
        <v>96</v>
      </c>
      <c r="D351" s="2" t="s">
        <v>7</v>
      </c>
      <c r="E351" s="3">
        <v>1</v>
      </c>
    </row>
    <row r="352" spans="1:5">
      <c r="A352" s="19" t="s">
        <v>5097</v>
      </c>
      <c r="B352" s="19">
        <v>20140280</v>
      </c>
      <c r="C352" s="19" t="s">
        <v>96</v>
      </c>
      <c r="D352" s="2" t="s">
        <v>7</v>
      </c>
      <c r="E352" s="3">
        <v>1</v>
      </c>
    </row>
    <row r="353" spans="1:5">
      <c r="A353" s="19" t="s">
        <v>5097</v>
      </c>
      <c r="B353" s="19">
        <v>20140281</v>
      </c>
      <c r="C353" s="19" t="s">
        <v>96</v>
      </c>
      <c r="D353" s="2" t="s">
        <v>7</v>
      </c>
      <c r="E353" s="3">
        <v>1</v>
      </c>
    </row>
    <row r="354" spans="1:5">
      <c r="A354" s="19" t="s">
        <v>5097</v>
      </c>
      <c r="B354" s="19">
        <v>20140282</v>
      </c>
      <c r="C354" s="19" t="s">
        <v>96</v>
      </c>
      <c r="D354" s="2" t="s">
        <v>7</v>
      </c>
      <c r="E354" s="3">
        <v>1</v>
      </c>
    </row>
    <row r="355" spans="1:5">
      <c r="A355" s="19" t="s">
        <v>5097</v>
      </c>
      <c r="B355" s="19">
        <v>20140283</v>
      </c>
      <c r="C355" s="19" t="s">
        <v>96</v>
      </c>
      <c r="D355" s="2" t="s">
        <v>7</v>
      </c>
      <c r="E355" s="3">
        <v>1</v>
      </c>
    </row>
    <row r="356" spans="1:5">
      <c r="A356" s="19" t="s">
        <v>5097</v>
      </c>
      <c r="B356" s="19">
        <v>20140284</v>
      </c>
      <c r="C356" s="19" t="s">
        <v>96</v>
      </c>
      <c r="D356" s="2" t="s">
        <v>7</v>
      </c>
      <c r="E356" s="3">
        <v>1</v>
      </c>
    </row>
    <row r="357" spans="1:5">
      <c r="A357" s="19" t="s">
        <v>5097</v>
      </c>
      <c r="B357" s="19">
        <v>20140285</v>
      </c>
      <c r="C357" s="19" t="s">
        <v>96</v>
      </c>
      <c r="D357" s="2" t="s">
        <v>7</v>
      </c>
      <c r="E357" s="3">
        <v>1</v>
      </c>
    </row>
    <row r="358" spans="1:5">
      <c r="A358" s="19" t="s">
        <v>5097</v>
      </c>
      <c r="B358" s="19">
        <v>20140286</v>
      </c>
      <c r="C358" s="19" t="s">
        <v>96</v>
      </c>
      <c r="D358" s="2" t="s">
        <v>7</v>
      </c>
      <c r="E358" s="3">
        <v>1</v>
      </c>
    </row>
    <row r="359" spans="1:5">
      <c r="A359" s="19" t="s">
        <v>5097</v>
      </c>
      <c r="B359" s="19">
        <v>20140287</v>
      </c>
      <c r="C359" s="19" t="s">
        <v>96</v>
      </c>
      <c r="D359" s="2" t="s">
        <v>7</v>
      </c>
      <c r="E359" s="3">
        <v>1</v>
      </c>
    </row>
    <row r="360" spans="1:5">
      <c r="A360" s="19" t="s">
        <v>5097</v>
      </c>
      <c r="B360" s="19">
        <v>20140288</v>
      </c>
      <c r="C360" s="19" t="s">
        <v>96</v>
      </c>
      <c r="D360" s="2" t="s">
        <v>7</v>
      </c>
      <c r="E360" s="3">
        <v>1</v>
      </c>
    </row>
    <row r="361" spans="1:5">
      <c r="A361" s="19" t="s">
        <v>5097</v>
      </c>
      <c r="B361" s="19">
        <v>20140289</v>
      </c>
      <c r="C361" s="19" t="s">
        <v>96</v>
      </c>
      <c r="D361" s="2" t="s">
        <v>7</v>
      </c>
      <c r="E361" s="3">
        <v>1</v>
      </c>
    </row>
    <row r="362" spans="1:5">
      <c r="A362" s="19" t="s">
        <v>5097</v>
      </c>
      <c r="B362" s="19">
        <v>20140290</v>
      </c>
      <c r="C362" s="19" t="s">
        <v>96</v>
      </c>
      <c r="D362" s="2" t="s">
        <v>7</v>
      </c>
      <c r="E362" s="3">
        <v>1</v>
      </c>
    </row>
    <row r="363" spans="1:5">
      <c r="A363" s="19" t="s">
        <v>5097</v>
      </c>
      <c r="B363" s="19">
        <v>20140291</v>
      </c>
      <c r="C363" s="19" t="s">
        <v>96</v>
      </c>
      <c r="D363" s="2" t="s">
        <v>7</v>
      </c>
      <c r="E363" s="3">
        <v>1</v>
      </c>
    </row>
    <row r="364" spans="1:5">
      <c r="A364" s="19" t="s">
        <v>5097</v>
      </c>
      <c r="B364" s="19">
        <v>20140292</v>
      </c>
      <c r="C364" s="19" t="s">
        <v>96</v>
      </c>
      <c r="D364" s="2" t="s">
        <v>7</v>
      </c>
      <c r="E364" s="3">
        <v>1</v>
      </c>
    </row>
    <row r="365" spans="1:5">
      <c r="A365" s="19" t="s">
        <v>5097</v>
      </c>
      <c r="B365" s="19">
        <v>20140293</v>
      </c>
      <c r="C365" s="19" t="s">
        <v>96</v>
      </c>
      <c r="D365" s="2" t="s">
        <v>7</v>
      </c>
      <c r="E365" s="3">
        <v>1</v>
      </c>
    </row>
    <row r="366" spans="1:5">
      <c r="A366" s="19" t="s">
        <v>5097</v>
      </c>
      <c r="B366" s="19">
        <v>20140294</v>
      </c>
      <c r="C366" s="19" t="s">
        <v>96</v>
      </c>
      <c r="D366" s="2" t="s">
        <v>7</v>
      </c>
      <c r="E366" s="3">
        <v>1</v>
      </c>
    </row>
    <row r="367" spans="1:5">
      <c r="A367" s="19" t="s">
        <v>5097</v>
      </c>
      <c r="B367" s="19">
        <v>20140295</v>
      </c>
      <c r="C367" s="19" t="s">
        <v>96</v>
      </c>
      <c r="D367" s="2" t="s">
        <v>7</v>
      </c>
      <c r="E367" s="3">
        <v>1</v>
      </c>
    </row>
    <row r="368" spans="1:5">
      <c r="A368" s="19" t="s">
        <v>5097</v>
      </c>
      <c r="B368" s="19">
        <v>20140296</v>
      </c>
      <c r="C368" s="19" t="s">
        <v>96</v>
      </c>
      <c r="D368" s="2" t="s">
        <v>7</v>
      </c>
      <c r="E368" s="3">
        <v>1</v>
      </c>
    </row>
    <row r="369" spans="1:5">
      <c r="A369" s="19" t="s">
        <v>5097</v>
      </c>
      <c r="B369" s="19">
        <v>20140310</v>
      </c>
      <c r="C369" s="19" t="s">
        <v>95</v>
      </c>
      <c r="D369" s="2" t="s">
        <v>7</v>
      </c>
      <c r="E369" s="3">
        <v>1</v>
      </c>
    </row>
    <row r="370" spans="1:5">
      <c r="A370" s="19" t="s">
        <v>5097</v>
      </c>
      <c r="B370" s="19">
        <v>20140311</v>
      </c>
      <c r="C370" s="19" t="s">
        <v>95</v>
      </c>
      <c r="D370" s="2" t="s">
        <v>7</v>
      </c>
      <c r="E370" s="3">
        <v>1</v>
      </c>
    </row>
    <row r="371" spans="1:5">
      <c r="A371" s="19" t="s">
        <v>5097</v>
      </c>
      <c r="B371" s="19">
        <v>20140312</v>
      </c>
      <c r="C371" s="19" t="s">
        <v>95</v>
      </c>
      <c r="D371" s="2" t="s">
        <v>7</v>
      </c>
      <c r="E371" s="3">
        <v>1</v>
      </c>
    </row>
    <row r="372" spans="1:5">
      <c r="A372" s="19" t="s">
        <v>5097</v>
      </c>
      <c r="B372" s="19">
        <v>20140313</v>
      </c>
      <c r="C372" s="19" t="s">
        <v>49</v>
      </c>
      <c r="D372" s="2" t="s">
        <v>7</v>
      </c>
      <c r="E372" s="3">
        <v>1</v>
      </c>
    </row>
    <row r="373" spans="1:5">
      <c r="A373" s="19" t="s">
        <v>5097</v>
      </c>
      <c r="B373" s="19">
        <v>20140316</v>
      </c>
      <c r="C373" s="19" t="s">
        <v>5128</v>
      </c>
      <c r="D373" s="2" t="s">
        <v>7</v>
      </c>
      <c r="E373" s="3">
        <v>1</v>
      </c>
    </row>
    <row r="374" spans="1:5">
      <c r="A374" s="19" t="s">
        <v>5097</v>
      </c>
      <c r="B374" s="19">
        <v>20140317</v>
      </c>
      <c r="C374" s="19" t="s">
        <v>177</v>
      </c>
      <c r="D374" s="2" t="s">
        <v>7</v>
      </c>
      <c r="E374" s="3">
        <v>1</v>
      </c>
    </row>
    <row r="375" spans="1:5">
      <c r="A375" s="19" t="s">
        <v>5097</v>
      </c>
      <c r="B375" s="19">
        <v>20151756</v>
      </c>
      <c r="C375" s="19" t="s">
        <v>96</v>
      </c>
      <c r="D375" s="2" t="s">
        <v>7</v>
      </c>
      <c r="E375" s="3">
        <v>1</v>
      </c>
    </row>
    <row r="376" spans="1:5">
      <c r="A376" s="19" t="s">
        <v>5097</v>
      </c>
      <c r="B376" s="19">
        <v>20151757</v>
      </c>
      <c r="C376" s="19" t="s">
        <v>96</v>
      </c>
      <c r="D376" s="2" t="s">
        <v>7</v>
      </c>
      <c r="E376" s="3">
        <v>1</v>
      </c>
    </row>
    <row r="377" spans="1:5">
      <c r="A377" s="19" t="s">
        <v>5097</v>
      </c>
      <c r="B377" s="19">
        <v>20151758</v>
      </c>
      <c r="C377" s="19" t="s">
        <v>96</v>
      </c>
      <c r="D377" s="2" t="s">
        <v>7</v>
      </c>
      <c r="E377" s="3">
        <v>1</v>
      </c>
    </row>
    <row r="378" spans="1:5">
      <c r="A378" s="19" t="s">
        <v>5097</v>
      </c>
      <c r="B378" s="19">
        <v>20151759</v>
      </c>
      <c r="C378" s="19" t="s">
        <v>96</v>
      </c>
      <c r="D378" s="2" t="s">
        <v>7</v>
      </c>
      <c r="E378" s="3">
        <v>1</v>
      </c>
    </row>
    <row r="379" spans="1:5">
      <c r="A379" s="19" t="s">
        <v>5097</v>
      </c>
      <c r="B379" s="19">
        <v>20151760</v>
      </c>
      <c r="C379" s="19" t="s">
        <v>96</v>
      </c>
      <c r="D379" s="2" t="s">
        <v>7</v>
      </c>
      <c r="E379" s="3">
        <v>1</v>
      </c>
    </row>
    <row r="380" spans="1:5">
      <c r="A380" s="19" t="s">
        <v>5097</v>
      </c>
      <c r="B380" s="19">
        <v>20151761</v>
      </c>
      <c r="C380" s="19" t="s">
        <v>96</v>
      </c>
      <c r="D380" s="2" t="s">
        <v>7</v>
      </c>
      <c r="E380" s="3">
        <v>1</v>
      </c>
    </row>
    <row r="381" spans="1:5">
      <c r="A381" s="19" t="s">
        <v>5097</v>
      </c>
      <c r="B381" s="19">
        <v>20151762</v>
      </c>
      <c r="C381" s="19" t="s">
        <v>96</v>
      </c>
      <c r="D381" s="2" t="s">
        <v>7</v>
      </c>
      <c r="E381" s="3">
        <v>1</v>
      </c>
    </row>
    <row r="382" spans="1:5">
      <c r="A382" s="19" t="s">
        <v>5097</v>
      </c>
      <c r="B382" s="19">
        <v>20151763</v>
      </c>
      <c r="C382" s="19" t="s">
        <v>96</v>
      </c>
      <c r="D382" s="2" t="s">
        <v>7</v>
      </c>
      <c r="E382" s="3">
        <v>1</v>
      </c>
    </row>
    <row r="383" spans="1:5">
      <c r="A383" s="19" t="s">
        <v>5097</v>
      </c>
      <c r="B383" s="19">
        <v>20151764</v>
      </c>
      <c r="C383" s="19" t="s">
        <v>96</v>
      </c>
      <c r="D383" s="2" t="s">
        <v>7</v>
      </c>
      <c r="E383" s="3">
        <v>1</v>
      </c>
    </row>
    <row r="384" spans="1:5">
      <c r="A384" s="19" t="s">
        <v>5097</v>
      </c>
      <c r="B384" s="19">
        <v>20151765</v>
      </c>
      <c r="C384" s="19" t="s">
        <v>96</v>
      </c>
      <c r="D384" s="2" t="s">
        <v>7</v>
      </c>
      <c r="E384" s="3">
        <v>1</v>
      </c>
    </row>
    <row r="385" spans="1:5">
      <c r="A385" s="19" t="s">
        <v>5097</v>
      </c>
      <c r="B385" s="19">
        <v>20151766</v>
      </c>
      <c r="C385" s="19" t="s">
        <v>96</v>
      </c>
      <c r="D385" s="2" t="s">
        <v>7</v>
      </c>
      <c r="E385" s="3">
        <v>1</v>
      </c>
    </row>
    <row r="386" spans="1:5">
      <c r="A386" s="19" t="s">
        <v>5097</v>
      </c>
      <c r="B386" s="19">
        <v>20151767</v>
      </c>
      <c r="C386" s="19" t="s">
        <v>96</v>
      </c>
      <c r="D386" s="2" t="s">
        <v>7</v>
      </c>
      <c r="E386" s="3">
        <v>1</v>
      </c>
    </row>
    <row r="387" spans="1:5">
      <c r="A387" s="19" t="s">
        <v>5097</v>
      </c>
      <c r="B387" s="19">
        <v>20151768</v>
      </c>
      <c r="C387" s="19" t="s">
        <v>96</v>
      </c>
      <c r="D387" s="2" t="s">
        <v>7</v>
      </c>
      <c r="E387" s="3">
        <v>1</v>
      </c>
    </row>
    <row r="388" spans="1:5">
      <c r="A388" s="19" t="s">
        <v>5097</v>
      </c>
      <c r="B388" s="19">
        <v>20151769</v>
      </c>
      <c r="C388" s="19" t="s">
        <v>96</v>
      </c>
      <c r="D388" s="2" t="s">
        <v>7</v>
      </c>
      <c r="E388" s="3">
        <v>1</v>
      </c>
    </row>
    <row r="389" spans="1:5">
      <c r="A389" s="19" t="s">
        <v>5097</v>
      </c>
      <c r="B389" s="19">
        <v>20151770</v>
      </c>
      <c r="C389" s="19" t="s">
        <v>96</v>
      </c>
      <c r="D389" s="2" t="s">
        <v>7</v>
      </c>
      <c r="E389" s="3">
        <v>1</v>
      </c>
    </row>
    <row r="390" spans="1:5">
      <c r="A390" s="19" t="s">
        <v>5097</v>
      </c>
      <c r="B390" s="19">
        <v>20151771</v>
      </c>
      <c r="C390" s="19" t="s">
        <v>96</v>
      </c>
      <c r="D390" s="2" t="s">
        <v>7</v>
      </c>
      <c r="E390" s="3">
        <v>1</v>
      </c>
    </row>
    <row r="391" spans="1:5">
      <c r="A391" s="19" t="s">
        <v>5097</v>
      </c>
      <c r="B391" s="19">
        <v>20151772</v>
      </c>
      <c r="C391" s="19" t="s">
        <v>96</v>
      </c>
      <c r="D391" s="2" t="s">
        <v>7</v>
      </c>
      <c r="E391" s="3">
        <v>1</v>
      </c>
    </row>
    <row r="392" spans="1:5">
      <c r="A392" s="19" t="s">
        <v>5097</v>
      </c>
      <c r="B392" s="19">
        <v>20151773</v>
      </c>
      <c r="C392" s="19" t="s">
        <v>96</v>
      </c>
      <c r="D392" s="2" t="s">
        <v>7</v>
      </c>
      <c r="E392" s="3">
        <v>1</v>
      </c>
    </row>
    <row r="393" spans="1:5">
      <c r="A393" s="19" t="s">
        <v>5097</v>
      </c>
      <c r="B393" s="19">
        <v>20151774</v>
      </c>
      <c r="C393" s="19" t="s">
        <v>96</v>
      </c>
      <c r="D393" s="2" t="s">
        <v>7</v>
      </c>
      <c r="E393" s="3">
        <v>1</v>
      </c>
    </row>
    <row r="394" spans="1:5">
      <c r="A394" s="19" t="s">
        <v>5097</v>
      </c>
      <c r="B394" s="19">
        <v>20151775</v>
      </c>
      <c r="C394" s="19" t="s">
        <v>96</v>
      </c>
      <c r="D394" s="2" t="s">
        <v>7</v>
      </c>
      <c r="E394" s="3">
        <v>1</v>
      </c>
    </row>
    <row r="395" spans="1:5">
      <c r="A395" s="19" t="s">
        <v>5097</v>
      </c>
      <c r="B395" s="19">
        <v>20151776</v>
      </c>
      <c r="C395" s="19" t="s">
        <v>96</v>
      </c>
      <c r="D395" s="2" t="s">
        <v>7</v>
      </c>
      <c r="E395" s="3">
        <v>1</v>
      </c>
    </row>
    <row r="396" spans="1:5">
      <c r="A396" s="19" t="s">
        <v>5097</v>
      </c>
      <c r="B396" s="19">
        <v>20151777</v>
      </c>
      <c r="C396" s="19" t="s">
        <v>96</v>
      </c>
      <c r="D396" s="2" t="s">
        <v>7</v>
      </c>
      <c r="E396" s="3">
        <v>1</v>
      </c>
    </row>
    <row r="397" spans="1:5">
      <c r="A397" s="19" t="s">
        <v>5097</v>
      </c>
      <c r="B397" s="19">
        <v>20151778</v>
      </c>
      <c r="C397" s="19" t="s">
        <v>96</v>
      </c>
      <c r="D397" s="2" t="s">
        <v>7</v>
      </c>
      <c r="E397" s="3">
        <v>1</v>
      </c>
    </row>
    <row r="398" spans="1:5">
      <c r="A398" s="19" t="s">
        <v>5097</v>
      </c>
      <c r="B398" s="19">
        <v>20151779</v>
      </c>
      <c r="C398" s="19" t="s">
        <v>96</v>
      </c>
      <c r="D398" s="2" t="s">
        <v>7</v>
      </c>
      <c r="E398" s="3">
        <v>1</v>
      </c>
    </row>
    <row r="399" spans="1:5">
      <c r="A399" s="19" t="s">
        <v>5097</v>
      </c>
      <c r="B399" s="19">
        <v>20151780</v>
      </c>
      <c r="C399" s="19" t="s">
        <v>96</v>
      </c>
      <c r="D399" s="2" t="s">
        <v>7</v>
      </c>
      <c r="E399" s="3">
        <v>1</v>
      </c>
    </row>
    <row r="400" spans="1:5">
      <c r="A400" s="19" t="s">
        <v>5097</v>
      </c>
      <c r="B400" s="19">
        <v>20151781</v>
      </c>
      <c r="C400" s="19" t="s">
        <v>96</v>
      </c>
      <c r="D400" s="2" t="s">
        <v>7</v>
      </c>
      <c r="E400" s="3">
        <v>1</v>
      </c>
    </row>
    <row r="401" spans="1:5">
      <c r="A401" s="19" t="s">
        <v>5097</v>
      </c>
      <c r="B401" s="19">
        <v>20151782</v>
      </c>
      <c r="C401" s="19" t="s">
        <v>96</v>
      </c>
      <c r="D401" s="2" t="s">
        <v>7</v>
      </c>
      <c r="E401" s="3">
        <v>1</v>
      </c>
    </row>
    <row r="402" spans="1:5">
      <c r="A402" s="19" t="s">
        <v>5097</v>
      </c>
      <c r="B402" s="19">
        <v>20151783</v>
      </c>
      <c r="C402" s="19" t="s">
        <v>96</v>
      </c>
      <c r="D402" s="2" t="s">
        <v>7</v>
      </c>
      <c r="E402" s="3">
        <v>1</v>
      </c>
    </row>
    <row r="403" spans="1:5">
      <c r="A403" s="19" t="s">
        <v>5097</v>
      </c>
      <c r="B403" s="19">
        <v>20151784</v>
      </c>
      <c r="C403" s="19" t="s">
        <v>96</v>
      </c>
      <c r="D403" s="2" t="s">
        <v>7</v>
      </c>
      <c r="E403" s="3">
        <v>1</v>
      </c>
    </row>
    <row r="404" spans="1:5">
      <c r="A404" s="19" t="s">
        <v>5097</v>
      </c>
      <c r="B404" s="19">
        <v>20151785</v>
      </c>
      <c r="C404" s="19" t="s">
        <v>96</v>
      </c>
      <c r="D404" s="2" t="s">
        <v>7</v>
      </c>
      <c r="E404" s="3">
        <v>1</v>
      </c>
    </row>
    <row r="405" spans="1:5">
      <c r="A405" s="19" t="s">
        <v>5097</v>
      </c>
      <c r="B405" s="19">
        <v>20160012</v>
      </c>
      <c r="C405" s="19" t="s">
        <v>95</v>
      </c>
      <c r="D405" s="2" t="s">
        <v>7</v>
      </c>
      <c r="E405" s="3">
        <v>1</v>
      </c>
    </row>
    <row r="406" spans="1:5">
      <c r="A406" s="19" t="s">
        <v>5097</v>
      </c>
      <c r="B406" s="19">
        <v>20160013</v>
      </c>
      <c r="C406" s="19" t="s">
        <v>95</v>
      </c>
      <c r="D406" s="2" t="s">
        <v>7</v>
      </c>
      <c r="E406" s="3">
        <v>1</v>
      </c>
    </row>
    <row r="407" spans="1:5">
      <c r="A407" s="19" t="s">
        <v>5097</v>
      </c>
      <c r="B407" s="19">
        <v>20160014</v>
      </c>
      <c r="C407" s="19" t="s">
        <v>95</v>
      </c>
      <c r="D407" s="2" t="s">
        <v>7</v>
      </c>
      <c r="E407" s="3">
        <v>1</v>
      </c>
    </row>
    <row r="408" spans="1:5">
      <c r="A408" s="19" t="s">
        <v>5097</v>
      </c>
      <c r="B408" s="19">
        <v>20160020</v>
      </c>
      <c r="C408" s="19" t="s">
        <v>96</v>
      </c>
      <c r="D408" s="2" t="s">
        <v>7</v>
      </c>
      <c r="E408" s="3">
        <v>1</v>
      </c>
    </row>
    <row r="409" spans="1:5">
      <c r="A409" s="19" t="s">
        <v>5097</v>
      </c>
      <c r="B409" s="19">
        <v>20160021</v>
      </c>
      <c r="C409" s="19" t="s">
        <v>96</v>
      </c>
      <c r="D409" s="2" t="s">
        <v>7</v>
      </c>
      <c r="E409" s="3">
        <v>1</v>
      </c>
    </row>
    <row r="410" spans="1:5">
      <c r="A410" s="19" t="s">
        <v>5097</v>
      </c>
      <c r="B410" s="19">
        <v>20160022</v>
      </c>
      <c r="C410" s="19" t="s">
        <v>96</v>
      </c>
      <c r="D410" s="2" t="s">
        <v>7</v>
      </c>
      <c r="E410" s="3">
        <v>1</v>
      </c>
    </row>
    <row r="411" spans="1:5">
      <c r="A411" s="19" t="s">
        <v>5097</v>
      </c>
      <c r="B411" s="19">
        <v>20160023</v>
      </c>
      <c r="C411" s="19" t="s">
        <v>96</v>
      </c>
      <c r="D411" s="2" t="s">
        <v>7</v>
      </c>
      <c r="E411" s="3">
        <v>1</v>
      </c>
    </row>
    <row r="412" spans="1:5">
      <c r="A412" s="19" t="s">
        <v>5097</v>
      </c>
      <c r="B412" s="19">
        <v>20160024</v>
      </c>
      <c r="C412" s="19" t="s">
        <v>96</v>
      </c>
      <c r="D412" s="2" t="s">
        <v>7</v>
      </c>
      <c r="E412" s="3">
        <v>1</v>
      </c>
    </row>
    <row r="413" spans="1:5">
      <c r="A413" s="19" t="s">
        <v>5097</v>
      </c>
      <c r="B413" s="19">
        <v>20160025</v>
      </c>
      <c r="C413" s="19" t="s">
        <v>96</v>
      </c>
      <c r="D413" s="2" t="s">
        <v>7</v>
      </c>
      <c r="E413" s="3">
        <v>1</v>
      </c>
    </row>
    <row r="414" spans="1:5">
      <c r="A414" s="19" t="s">
        <v>5097</v>
      </c>
      <c r="B414" s="19">
        <v>20160026</v>
      </c>
      <c r="C414" s="19" t="s">
        <v>96</v>
      </c>
      <c r="D414" s="2" t="s">
        <v>7</v>
      </c>
      <c r="E414" s="3">
        <v>1</v>
      </c>
    </row>
    <row r="415" spans="1:5">
      <c r="A415" s="19" t="s">
        <v>5097</v>
      </c>
      <c r="B415" s="19">
        <v>20160027</v>
      </c>
      <c r="C415" s="19" t="s">
        <v>96</v>
      </c>
      <c r="D415" s="2" t="s">
        <v>7</v>
      </c>
      <c r="E415" s="3">
        <v>1</v>
      </c>
    </row>
    <row r="416" spans="1:5">
      <c r="A416" s="19" t="s">
        <v>5097</v>
      </c>
      <c r="B416" s="19">
        <v>20160028</v>
      </c>
      <c r="C416" s="19" t="s">
        <v>96</v>
      </c>
      <c r="D416" s="2" t="s">
        <v>7</v>
      </c>
      <c r="E416" s="3">
        <v>1</v>
      </c>
    </row>
    <row r="417" spans="1:5">
      <c r="A417" s="19" t="s">
        <v>5097</v>
      </c>
      <c r="B417" s="19">
        <v>20160029</v>
      </c>
      <c r="C417" s="19" t="s">
        <v>96</v>
      </c>
      <c r="D417" s="2" t="s">
        <v>7</v>
      </c>
      <c r="E417" s="3">
        <v>1</v>
      </c>
    </row>
    <row r="418" spans="1:5">
      <c r="A418" s="19" t="s">
        <v>5097</v>
      </c>
      <c r="B418" s="19">
        <v>20160030</v>
      </c>
      <c r="C418" s="19" t="s">
        <v>96</v>
      </c>
      <c r="D418" s="2" t="s">
        <v>7</v>
      </c>
      <c r="E418" s="3">
        <v>1</v>
      </c>
    </row>
    <row r="419" spans="1:5">
      <c r="A419" s="19" t="s">
        <v>5097</v>
      </c>
      <c r="B419" s="19">
        <v>20160031</v>
      </c>
      <c r="C419" s="19" t="s">
        <v>96</v>
      </c>
      <c r="D419" s="2" t="s">
        <v>7</v>
      </c>
      <c r="E419" s="3">
        <v>1</v>
      </c>
    </row>
    <row r="420" spans="1:5">
      <c r="A420" s="19" t="s">
        <v>5097</v>
      </c>
      <c r="B420" s="19">
        <v>20160032</v>
      </c>
      <c r="C420" s="19" t="s">
        <v>96</v>
      </c>
      <c r="D420" s="2" t="s">
        <v>7</v>
      </c>
      <c r="E420" s="3">
        <v>1</v>
      </c>
    </row>
    <row r="421" spans="1:5">
      <c r="A421" s="19" t="s">
        <v>5097</v>
      </c>
      <c r="B421" s="19">
        <v>20160033</v>
      </c>
      <c r="C421" s="19" t="s">
        <v>96</v>
      </c>
      <c r="D421" s="2" t="s">
        <v>7</v>
      </c>
      <c r="E421" s="3">
        <v>1</v>
      </c>
    </row>
    <row r="422" spans="1:5">
      <c r="A422" s="19" t="s">
        <v>5097</v>
      </c>
      <c r="B422" s="19">
        <v>20160034</v>
      </c>
      <c r="C422" s="19" t="s">
        <v>96</v>
      </c>
      <c r="D422" s="2" t="s">
        <v>7</v>
      </c>
      <c r="E422" s="3">
        <v>1</v>
      </c>
    </row>
    <row r="423" spans="1:5">
      <c r="A423" s="19" t="s">
        <v>5097</v>
      </c>
      <c r="B423" s="19">
        <v>20160035</v>
      </c>
      <c r="C423" s="19" t="s">
        <v>96</v>
      </c>
      <c r="D423" s="2" t="s">
        <v>7</v>
      </c>
      <c r="E423" s="3">
        <v>1</v>
      </c>
    </row>
    <row r="424" spans="1:5">
      <c r="A424" s="19" t="s">
        <v>5097</v>
      </c>
      <c r="B424" s="19">
        <v>20160036</v>
      </c>
      <c r="C424" s="19" t="s">
        <v>96</v>
      </c>
      <c r="D424" s="2" t="s">
        <v>7</v>
      </c>
      <c r="E424" s="3">
        <v>1</v>
      </c>
    </row>
    <row r="425" spans="1:5">
      <c r="A425" s="19" t="s">
        <v>5097</v>
      </c>
      <c r="B425" s="19">
        <v>20160037</v>
      </c>
      <c r="C425" s="19" t="s">
        <v>96</v>
      </c>
      <c r="D425" s="2" t="s">
        <v>7</v>
      </c>
      <c r="E425" s="3">
        <v>1</v>
      </c>
    </row>
    <row r="426" spans="1:5">
      <c r="A426" s="19" t="s">
        <v>5097</v>
      </c>
      <c r="B426" s="19">
        <v>20160038</v>
      </c>
      <c r="C426" s="19" t="s">
        <v>96</v>
      </c>
      <c r="D426" s="2" t="s">
        <v>7</v>
      </c>
      <c r="E426" s="3">
        <v>1</v>
      </c>
    </row>
    <row r="427" spans="1:5">
      <c r="A427" s="19" t="s">
        <v>5097</v>
      </c>
      <c r="B427" s="19">
        <v>20160039</v>
      </c>
      <c r="C427" s="19" t="s">
        <v>96</v>
      </c>
      <c r="D427" s="2" t="s">
        <v>7</v>
      </c>
      <c r="E427" s="3">
        <v>1</v>
      </c>
    </row>
    <row r="428" spans="1:5">
      <c r="A428" s="19" t="s">
        <v>5097</v>
      </c>
      <c r="B428" s="19">
        <v>20160040</v>
      </c>
      <c r="C428" s="19" t="s">
        <v>96</v>
      </c>
      <c r="D428" s="2" t="s">
        <v>7</v>
      </c>
      <c r="E428" s="3">
        <v>1</v>
      </c>
    </row>
    <row r="429" spans="1:5">
      <c r="A429" s="19" t="s">
        <v>5097</v>
      </c>
      <c r="B429" s="19">
        <v>20160041</v>
      </c>
      <c r="C429" s="19" t="s">
        <v>96</v>
      </c>
      <c r="D429" s="2" t="s">
        <v>7</v>
      </c>
      <c r="E429" s="3">
        <v>1</v>
      </c>
    </row>
    <row r="430" spans="1:5">
      <c r="A430" s="19" t="s">
        <v>5097</v>
      </c>
      <c r="B430" s="19">
        <v>20160042</v>
      </c>
      <c r="C430" s="19" t="s">
        <v>96</v>
      </c>
      <c r="D430" s="2" t="s">
        <v>7</v>
      </c>
      <c r="E430" s="3">
        <v>1</v>
      </c>
    </row>
    <row r="431" spans="1:5">
      <c r="A431" s="19" t="s">
        <v>5097</v>
      </c>
      <c r="B431" s="19">
        <v>20160043</v>
      </c>
      <c r="C431" s="19" t="s">
        <v>96</v>
      </c>
      <c r="D431" s="2" t="s">
        <v>7</v>
      </c>
      <c r="E431" s="3">
        <v>1</v>
      </c>
    </row>
    <row r="432" spans="1:5">
      <c r="A432" s="19" t="s">
        <v>5097</v>
      </c>
      <c r="B432" s="19">
        <v>20160044</v>
      </c>
      <c r="C432" s="19" t="s">
        <v>96</v>
      </c>
      <c r="D432" s="2" t="s">
        <v>7</v>
      </c>
      <c r="E432" s="3">
        <v>1</v>
      </c>
    </row>
    <row r="433" spans="1:5">
      <c r="A433" s="19" t="s">
        <v>5097</v>
      </c>
      <c r="B433" s="19">
        <v>20160045</v>
      </c>
      <c r="C433" s="19" t="s">
        <v>49</v>
      </c>
      <c r="D433" s="2" t="s">
        <v>7</v>
      </c>
      <c r="E433" s="3">
        <v>1</v>
      </c>
    </row>
    <row r="434" spans="1:5">
      <c r="A434" s="19" t="s">
        <v>5097</v>
      </c>
      <c r="B434" s="19">
        <v>20180031</v>
      </c>
      <c r="C434" s="19" t="s">
        <v>96</v>
      </c>
      <c r="D434" s="2" t="s">
        <v>7</v>
      </c>
      <c r="E434" s="3">
        <v>1</v>
      </c>
    </row>
    <row r="435" spans="1:5">
      <c r="A435" s="19" t="s">
        <v>5097</v>
      </c>
      <c r="B435" s="19">
        <v>20180032</v>
      </c>
      <c r="C435" s="19" t="s">
        <v>96</v>
      </c>
      <c r="D435" s="2" t="s">
        <v>7</v>
      </c>
      <c r="E435" s="3">
        <v>1</v>
      </c>
    </row>
    <row r="436" spans="1:5">
      <c r="A436" s="19" t="s">
        <v>5097</v>
      </c>
      <c r="B436" s="19">
        <v>20180033</v>
      </c>
      <c r="C436" s="19" t="s">
        <v>96</v>
      </c>
      <c r="D436" s="2" t="s">
        <v>7</v>
      </c>
      <c r="E436" s="3">
        <v>1</v>
      </c>
    </row>
    <row r="437" spans="1:5">
      <c r="A437" s="19" t="s">
        <v>5097</v>
      </c>
      <c r="B437" s="19">
        <v>20180034</v>
      </c>
      <c r="C437" s="19" t="s">
        <v>96</v>
      </c>
      <c r="D437" s="2" t="s">
        <v>7</v>
      </c>
      <c r="E437" s="3">
        <v>1</v>
      </c>
    </row>
    <row r="438" spans="1:5">
      <c r="A438" s="19" t="s">
        <v>5097</v>
      </c>
      <c r="B438" s="19">
        <v>20180035</v>
      </c>
      <c r="C438" s="19" t="s">
        <v>96</v>
      </c>
      <c r="D438" s="2" t="s">
        <v>7</v>
      </c>
      <c r="E438" s="3">
        <v>1</v>
      </c>
    </row>
    <row r="439" spans="1:5">
      <c r="A439" s="19" t="s">
        <v>5097</v>
      </c>
      <c r="B439" s="19">
        <v>20180036</v>
      </c>
      <c r="C439" s="19" t="s">
        <v>96</v>
      </c>
      <c r="D439" s="2" t="s">
        <v>7</v>
      </c>
      <c r="E439" s="3">
        <v>1</v>
      </c>
    </row>
    <row r="440" spans="1:5">
      <c r="A440" s="19" t="s">
        <v>5097</v>
      </c>
      <c r="B440" s="19">
        <v>20180037</v>
      </c>
      <c r="C440" s="19" t="s">
        <v>96</v>
      </c>
      <c r="D440" s="2" t="s">
        <v>7</v>
      </c>
      <c r="E440" s="3">
        <v>1</v>
      </c>
    </row>
    <row r="441" spans="1:5">
      <c r="A441" s="19" t="s">
        <v>5097</v>
      </c>
      <c r="B441" s="19">
        <v>20180038</v>
      </c>
      <c r="C441" s="19" t="s">
        <v>96</v>
      </c>
      <c r="D441" s="2" t="s">
        <v>7</v>
      </c>
      <c r="E441" s="3">
        <v>1</v>
      </c>
    </row>
    <row r="442" spans="1:5">
      <c r="A442" s="19" t="s">
        <v>5097</v>
      </c>
      <c r="B442" s="19">
        <v>20180039</v>
      </c>
      <c r="C442" s="19" t="s">
        <v>96</v>
      </c>
      <c r="D442" s="2" t="s">
        <v>7</v>
      </c>
      <c r="E442" s="3">
        <v>1</v>
      </c>
    </row>
    <row r="443" spans="1:5">
      <c r="A443" s="19" t="s">
        <v>5097</v>
      </c>
      <c r="B443" s="19">
        <v>20180040</v>
      </c>
      <c r="C443" s="19" t="s">
        <v>96</v>
      </c>
      <c r="D443" s="2" t="s">
        <v>7</v>
      </c>
      <c r="E443" s="3">
        <v>1</v>
      </c>
    </row>
    <row r="444" spans="1:5">
      <c r="A444" s="19" t="s">
        <v>5097</v>
      </c>
      <c r="B444" s="19">
        <v>20180041</v>
      </c>
      <c r="C444" s="19" t="s">
        <v>96</v>
      </c>
      <c r="D444" s="2" t="s">
        <v>7</v>
      </c>
      <c r="E444" s="3">
        <v>1</v>
      </c>
    </row>
    <row r="445" spans="1:5">
      <c r="A445" s="19" t="s">
        <v>5097</v>
      </c>
      <c r="B445" s="19">
        <v>20180042</v>
      </c>
      <c r="C445" s="19" t="s">
        <v>96</v>
      </c>
      <c r="D445" s="2" t="s">
        <v>7</v>
      </c>
      <c r="E445" s="3">
        <v>1</v>
      </c>
    </row>
    <row r="446" spans="1:5">
      <c r="A446" s="19" t="s">
        <v>5097</v>
      </c>
      <c r="B446" s="19">
        <v>20180043</v>
      </c>
      <c r="C446" s="19" t="s">
        <v>96</v>
      </c>
      <c r="D446" s="2" t="s">
        <v>7</v>
      </c>
      <c r="E446" s="3">
        <v>1</v>
      </c>
    </row>
    <row r="447" spans="1:5">
      <c r="A447" s="19" t="s">
        <v>5097</v>
      </c>
      <c r="B447" s="19">
        <v>20180044</v>
      </c>
      <c r="C447" s="19" t="s">
        <v>96</v>
      </c>
      <c r="D447" s="2" t="s">
        <v>7</v>
      </c>
      <c r="E447" s="3">
        <v>1</v>
      </c>
    </row>
    <row r="448" spans="1:5">
      <c r="A448" s="19" t="s">
        <v>5097</v>
      </c>
      <c r="B448" s="19">
        <v>20180045</v>
      </c>
      <c r="C448" s="19" t="s">
        <v>96</v>
      </c>
      <c r="D448" s="2" t="s">
        <v>7</v>
      </c>
      <c r="E448" s="3">
        <v>1</v>
      </c>
    </row>
    <row r="449" spans="1:5">
      <c r="A449" s="19" t="s">
        <v>5097</v>
      </c>
      <c r="B449" s="19">
        <v>20180046</v>
      </c>
      <c r="C449" s="19" t="s">
        <v>96</v>
      </c>
      <c r="D449" s="2" t="s">
        <v>7</v>
      </c>
      <c r="E449" s="3">
        <v>1</v>
      </c>
    </row>
    <row r="450" spans="1:5">
      <c r="A450" s="19" t="s">
        <v>5097</v>
      </c>
      <c r="B450" s="19">
        <v>20180047</v>
      </c>
      <c r="C450" s="19" t="s">
        <v>96</v>
      </c>
      <c r="D450" s="2" t="s">
        <v>7</v>
      </c>
      <c r="E450" s="3">
        <v>1</v>
      </c>
    </row>
    <row r="451" spans="1:5">
      <c r="A451" s="19" t="s">
        <v>5097</v>
      </c>
      <c r="B451" s="19">
        <v>20180048</v>
      </c>
      <c r="C451" s="19" t="s">
        <v>96</v>
      </c>
      <c r="D451" s="2" t="s">
        <v>7</v>
      </c>
      <c r="E451" s="3">
        <v>1</v>
      </c>
    </row>
    <row r="452" spans="1:5">
      <c r="A452" s="19" t="s">
        <v>5097</v>
      </c>
      <c r="B452" s="19">
        <v>20180049</v>
      </c>
      <c r="C452" s="19" t="s">
        <v>96</v>
      </c>
      <c r="D452" s="2" t="s">
        <v>7</v>
      </c>
      <c r="E452" s="3">
        <v>1</v>
      </c>
    </row>
    <row r="453" spans="1:5">
      <c r="A453" s="19" t="s">
        <v>5097</v>
      </c>
      <c r="B453" s="19">
        <v>20180050</v>
      </c>
      <c r="C453" s="19" t="s">
        <v>96</v>
      </c>
      <c r="D453" s="2" t="s">
        <v>7</v>
      </c>
      <c r="E453" s="3">
        <v>1</v>
      </c>
    </row>
    <row r="454" spans="1:5">
      <c r="A454" s="19" t="s">
        <v>5097</v>
      </c>
      <c r="B454" s="19">
        <v>20180051</v>
      </c>
      <c r="C454" s="19" t="s">
        <v>96</v>
      </c>
      <c r="D454" s="2" t="s">
        <v>7</v>
      </c>
      <c r="E454" s="3">
        <v>1</v>
      </c>
    </row>
    <row r="455" spans="1:5">
      <c r="A455" s="19" t="s">
        <v>5097</v>
      </c>
      <c r="B455" s="19">
        <v>20180052</v>
      </c>
      <c r="C455" s="19" t="s">
        <v>96</v>
      </c>
      <c r="D455" s="2" t="s">
        <v>7</v>
      </c>
      <c r="E455" s="3">
        <v>1</v>
      </c>
    </row>
    <row r="456" spans="1:5">
      <c r="A456" s="19" t="s">
        <v>5097</v>
      </c>
      <c r="B456" s="19">
        <v>20180053</v>
      </c>
      <c r="C456" s="19" t="s">
        <v>96</v>
      </c>
      <c r="D456" s="2" t="s">
        <v>7</v>
      </c>
      <c r="E456" s="3">
        <v>1</v>
      </c>
    </row>
    <row r="457" spans="1:5">
      <c r="A457" s="19" t="s">
        <v>5097</v>
      </c>
      <c r="B457" s="19">
        <v>20180054</v>
      </c>
      <c r="C457" s="19" t="s">
        <v>96</v>
      </c>
      <c r="D457" s="2" t="s">
        <v>7</v>
      </c>
      <c r="E457" s="3">
        <v>1</v>
      </c>
    </row>
    <row r="458" spans="1:5">
      <c r="A458" s="19" t="s">
        <v>5097</v>
      </c>
      <c r="B458" s="19">
        <v>20180055</v>
      </c>
      <c r="C458" s="19" t="s">
        <v>96</v>
      </c>
      <c r="D458" s="2" t="s">
        <v>7</v>
      </c>
      <c r="E458" s="3">
        <v>1</v>
      </c>
    </row>
    <row r="459" spans="1:5">
      <c r="A459" s="19" t="s">
        <v>5097</v>
      </c>
      <c r="B459" s="19">
        <v>20180056</v>
      </c>
      <c r="C459" s="19" t="s">
        <v>96</v>
      </c>
      <c r="D459" s="2" t="s">
        <v>7</v>
      </c>
      <c r="E459" s="3">
        <v>1</v>
      </c>
    </row>
    <row r="460" spans="1:5">
      <c r="A460" s="19" t="s">
        <v>5097</v>
      </c>
      <c r="B460" s="19">
        <v>20180057</v>
      </c>
      <c r="C460" s="19" t="s">
        <v>96</v>
      </c>
      <c r="D460" s="2" t="s">
        <v>7</v>
      </c>
      <c r="E460" s="3">
        <v>1</v>
      </c>
    </row>
    <row r="461" spans="1:5">
      <c r="A461" s="19" t="s">
        <v>5097</v>
      </c>
      <c r="B461" s="19">
        <v>20180058</v>
      </c>
      <c r="C461" s="19" t="s">
        <v>96</v>
      </c>
      <c r="D461" s="2" t="s">
        <v>7</v>
      </c>
      <c r="E461" s="3">
        <v>1</v>
      </c>
    </row>
    <row r="462" spans="1:5">
      <c r="A462" s="19" t="s">
        <v>5097</v>
      </c>
      <c r="B462" s="19">
        <v>20180059</v>
      </c>
      <c r="C462" s="19" t="s">
        <v>96</v>
      </c>
      <c r="D462" s="2" t="s">
        <v>7</v>
      </c>
      <c r="E462" s="3">
        <v>1</v>
      </c>
    </row>
    <row r="463" spans="1:5">
      <c r="A463" s="19" t="s">
        <v>5097</v>
      </c>
      <c r="B463" s="19">
        <v>20180060</v>
      </c>
      <c r="C463" s="19" t="s">
        <v>96</v>
      </c>
      <c r="D463" s="2" t="s">
        <v>7</v>
      </c>
      <c r="E463" s="3">
        <v>1</v>
      </c>
    </row>
    <row r="464" spans="1:5">
      <c r="A464" s="19" t="s">
        <v>5097</v>
      </c>
      <c r="B464" s="19">
        <v>20180061</v>
      </c>
      <c r="C464" s="19" t="s">
        <v>96</v>
      </c>
      <c r="D464" s="2" t="s">
        <v>7</v>
      </c>
      <c r="E464" s="3">
        <v>1</v>
      </c>
    </row>
    <row r="465" spans="1:5">
      <c r="A465" s="19" t="s">
        <v>5097</v>
      </c>
      <c r="B465" s="19">
        <v>20180062</v>
      </c>
      <c r="C465" s="19" t="s">
        <v>96</v>
      </c>
      <c r="D465" s="2" t="s">
        <v>7</v>
      </c>
      <c r="E465" s="3">
        <v>1</v>
      </c>
    </row>
    <row r="466" spans="1:5">
      <c r="A466" s="19" t="s">
        <v>5097</v>
      </c>
      <c r="B466" s="19">
        <v>20180063</v>
      </c>
      <c r="C466" s="19" t="s">
        <v>96</v>
      </c>
      <c r="D466" s="2" t="s">
        <v>7</v>
      </c>
      <c r="E466" s="3">
        <v>1</v>
      </c>
    </row>
    <row r="467" spans="1:5">
      <c r="A467" s="19" t="s">
        <v>5097</v>
      </c>
      <c r="B467" s="19">
        <v>20180064</v>
      </c>
      <c r="C467" s="19" t="s">
        <v>96</v>
      </c>
      <c r="D467" s="2" t="s">
        <v>7</v>
      </c>
      <c r="E467" s="3">
        <v>1</v>
      </c>
    </row>
    <row r="468" spans="1:5">
      <c r="A468" s="19" t="s">
        <v>5097</v>
      </c>
      <c r="B468" s="19">
        <v>20180065</v>
      </c>
      <c r="C468" s="19" t="s">
        <v>96</v>
      </c>
      <c r="D468" s="2" t="s">
        <v>7</v>
      </c>
      <c r="E468" s="3">
        <v>1</v>
      </c>
    </row>
    <row r="469" spans="1:5">
      <c r="A469" s="19" t="s">
        <v>5097</v>
      </c>
      <c r="B469" s="19">
        <v>20180066</v>
      </c>
      <c r="C469" s="19" t="s">
        <v>96</v>
      </c>
      <c r="D469" s="2" t="s">
        <v>7</v>
      </c>
      <c r="E469" s="3">
        <v>1</v>
      </c>
    </row>
    <row r="470" spans="1:5">
      <c r="A470" s="19" t="s">
        <v>5097</v>
      </c>
      <c r="B470" s="19">
        <v>20180067</v>
      </c>
      <c r="C470" s="19" t="s">
        <v>96</v>
      </c>
      <c r="D470" s="2" t="s">
        <v>7</v>
      </c>
      <c r="E470" s="3">
        <v>1</v>
      </c>
    </row>
    <row r="471" spans="1:5">
      <c r="A471" s="19" t="s">
        <v>5097</v>
      </c>
      <c r="B471" s="19">
        <v>20180068</v>
      </c>
      <c r="C471" s="19" t="s">
        <v>96</v>
      </c>
      <c r="D471" s="2" t="s">
        <v>7</v>
      </c>
      <c r="E471" s="3">
        <v>1</v>
      </c>
    </row>
    <row r="472" spans="1:5">
      <c r="A472" s="19" t="s">
        <v>5097</v>
      </c>
      <c r="B472" s="19">
        <v>20180069</v>
      </c>
      <c r="C472" s="19" t="s">
        <v>96</v>
      </c>
      <c r="D472" s="2" t="s">
        <v>7</v>
      </c>
      <c r="E472" s="3">
        <v>1</v>
      </c>
    </row>
    <row r="473" spans="1:5">
      <c r="A473" s="19" t="s">
        <v>5097</v>
      </c>
      <c r="B473" s="19">
        <v>20180070</v>
      </c>
      <c r="C473" s="19" t="s">
        <v>96</v>
      </c>
      <c r="D473" s="2" t="s">
        <v>7</v>
      </c>
      <c r="E473" s="3">
        <v>1</v>
      </c>
    </row>
    <row r="474" spans="1:5">
      <c r="A474" s="19" t="s">
        <v>5097</v>
      </c>
      <c r="B474" s="19">
        <v>20180071</v>
      </c>
      <c r="C474" s="19" t="s">
        <v>96</v>
      </c>
      <c r="D474" s="2" t="s">
        <v>7</v>
      </c>
      <c r="E474" s="3">
        <v>1</v>
      </c>
    </row>
    <row r="475" spans="1:5">
      <c r="A475" s="19" t="s">
        <v>5097</v>
      </c>
      <c r="B475" s="19">
        <v>20180072</v>
      </c>
      <c r="C475" s="19" t="s">
        <v>96</v>
      </c>
      <c r="D475" s="2" t="s">
        <v>7</v>
      </c>
      <c r="E475" s="3">
        <v>1</v>
      </c>
    </row>
    <row r="476" spans="1:5">
      <c r="A476" s="19" t="s">
        <v>5097</v>
      </c>
      <c r="B476" s="19">
        <v>20180073</v>
      </c>
      <c r="C476" s="19" t="s">
        <v>96</v>
      </c>
      <c r="D476" s="2" t="s">
        <v>7</v>
      </c>
      <c r="E476" s="3">
        <v>1</v>
      </c>
    </row>
    <row r="477" spans="1:5">
      <c r="A477" s="19" t="s">
        <v>5097</v>
      </c>
      <c r="B477" s="19">
        <v>20180074</v>
      </c>
      <c r="C477" s="19" t="s">
        <v>96</v>
      </c>
      <c r="D477" s="2" t="s">
        <v>7</v>
      </c>
      <c r="E477" s="3">
        <v>1</v>
      </c>
    </row>
    <row r="478" spans="1:5">
      <c r="A478" s="19" t="s">
        <v>5097</v>
      </c>
      <c r="B478" s="19">
        <v>20180075</v>
      </c>
      <c r="C478" s="19" t="s">
        <v>96</v>
      </c>
      <c r="D478" s="2" t="s">
        <v>7</v>
      </c>
      <c r="E478" s="3">
        <v>1</v>
      </c>
    </row>
    <row r="479" spans="1:5">
      <c r="A479" s="19" t="s">
        <v>5097</v>
      </c>
      <c r="B479" s="19">
        <v>20180076</v>
      </c>
      <c r="C479" s="19" t="s">
        <v>96</v>
      </c>
      <c r="D479" s="2" t="s">
        <v>7</v>
      </c>
      <c r="E479" s="3">
        <v>1</v>
      </c>
    </row>
    <row r="480" spans="1:5">
      <c r="A480" s="19" t="s">
        <v>5097</v>
      </c>
      <c r="B480" s="19">
        <v>20180077</v>
      </c>
      <c r="C480" s="19" t="s">
        <v>96</v>
      </c>
      <c r="D480" s="2" t="s">
        <v>7</v>
      </c>
      <c r="E480" s="3">
        <v>1</v>
      </c>
    </row>
    <row r="481" spans="1:5">
      <c r="A481" s="19" t="s">
        <v>5097</v>
      </c>
      <c r="B481" s="19">
        <v>20180078</v>
      </c>
      <c r="C481" s="19" t="s">
        <v>96</v>
      </c>
      <c r="D481" s="2" t="s">
        <v>7</v>
      </c>
      <c r="E481" s="3">
        <v>1</v>
      </c>
    </row>
    <row r="482" spans="1:5">
      <c r="A482" s="19" t="s">
        <v>5097</v>
      </c>
      <c r="B482" s="19">
        <v>20180079</v>
      </c>
      <c r="C482" s="19" t="s">
        <v>96</v>
      </c>
      <c r="D482" s="2" t="s">
        <v>7</v>
      </c>
      <c r="E482" s="3">
        <v>1</v>
      </c>
    </row>
    <row r="483" spans="1:5">
      <c r="A483" s="19" t="s">
        <v>5097</v>
      </c>
      <c r="B483" s="19">
        <v>20180080</v>
      </c>
      <c r="C483" s="19" t="s">
        <v>96</v>
      </c>
      <c r="D483" s="2" t="s">
        <v>7</v>
      </c>
      <c r="E483" s="3">
        <v>1</v>
      </c>
    </row>
    <row r="484" spans="1:5">
      <c r="A484" s="19" t="s">
        <v>5097</v>
      </c>
      <c r="B484" s="19">
        <v>20180081</v>
      </c>
      <c r="C484" s="19" t="s">
        <v>96</v>
      </c>
      <c r="D484" s="2" t="s">
        <v>7</v>
      </c>
      <c r="E484" s="3">
        <v>1</v>
      </c>
    </row>
    <row r="485" spans="1:5">
      <c r="A485" s="19" t="s">
        <v>5097</v>
      </c>
      <c r="B485" s="19">
        <v>20180082</v>
      </c>
      <c r="C485" s="19" t="s">
        <v>96</v>
      </c>
      <c r="D485" s="2" t="s">
        <v>7</v>
      </c>
      <c r="E485" s="3">
        <v>1</v>
      </c>
    </row>
    <row r="486" spans="1:5">
      <c r="A486" s="19" t="s">
        <v>5097</v>
      </c>
      <c r="B486" s="19">
        <v>20180083</v>
      </c>
      <c r="C486" s="19" t="s">
        <v>96</v>
      </c>
      <c r="D486" s="2" t="s">
        <v>7</v>
      </c>
      <c r="E486" s="3">
        <v>1</v>
      </c>
    </row>
    <row r="487" spans="1:5">
      <c r="A487" s="19" t="s">
        <v>5097</v>
      </c>
      <c r="B487" s="19">
        <v>20180084</v>
      </c>
      <c r="C487" s="19" t="s">
        <v>96</v>
      </c>
      <c r="D487" s="2" t="s">
        <v>7</v>
      </c>
      <c r="E487" s="3">
        <v>1</v>
      </c>
    </row>
    <row r="488" spans="1:5">
      <c r="A488" s="19" t="s">
        <v>5097</v>
      </c>
      <c r="B488" s="19">
        <v>20180085</v>
      </c>
      <c r="C488" s="19" t="s">
        <v>96</v>
      </c>
      <c r="D488" s="2" t="s">
        <v>7</v>
      </c>
      <c r="E488" s="3">
        <v>1</v>
      </c>
    </row>
    <row r="489" spans="1:5">
      <c r="A489" s="19" t="s">
        <v>5097</v>
      </c>
      <c r="B489" s="19">
        <v>20180086</v>
      </c>
      <c r="C489" s="19" t="s">
        <v>96</v>
      </c>
      <c r="D489" s="2" t="s">
        <v>7</v>
      </c>
      <c r="E489" s="3">
        <v>1</v>
      </c>
    </row>
    <row r="490" spans="1:5">
      <c r="A490" s="19" t="s">
        <v>5097</v>
      </c>
      <c r="B490" s="19">
        <v>20180087</v>
      </c>
      <c r="C490" s="19" t="s">
        <v>5130</v>
      </c>
      <c r="D490" s="2" t="s">
        <v>7</v>
      </c>
      <c r="E490" s="3">
        <v>1</v>
      </c>
    </row>
    <row r="491" spans="1:5">
      <c r="A491" s="19" t="s">
        <v>5097</v>
      </c>
      <c r="B491" s="19">
        <v>20180088</v>
      </c>
      <c r="C491" s="19" t="s">
        <v>95</v>
      </c>
      <c r="D491" s="2" t="s">
        <v>7</v>
      </c>
      <c r="E491" s="3">
        <v>1</v>
      </c>
    </row>
    <row r="492" spans="1:5">
      <c r="A492" s="19" t="s">
        <v>5097</v>
      </c>
      <c r="B492" s="19">
        <v>20180089</v>
      </c>
      <c r="C492" s="19" t="s">
        <v>95</v>
      </c>
      <c r="D492" s="2" t="s">
        <v>7</v>
      </c>
      <c r="E492" s="3">
        <v>1</v>
      </c>
    </row>
    <row r="493" spans="1:5">
      <c r="A493" s="19" t="s">
        <v>5097</v>
      </c>
      <c r="B493" s="19">
        <v>20180090</v>
      </c>
      <c r="C493" s="19" t="s">
        <v>95</v>
      </c>
      <c r="D493" s="2" t="s">
        <v>7</v>
      </c>
      <c r="E493" s="3">
        <v>1</v>
      </c>
    </row>
    <row r="494" spans="1:5">
      <c r="A494" s="19" t="s">
        <v>5097</v>
      </c>
      <c r="B494" s="19">
        <v>20180091</v>
      </c>
      <c r="C494" s="19" t="s">
        <v>5131</v>
      </c>
      <c r="D494" s="2" t="s">
        <v>7</v>
      </c>
      <c r="E494" s="3">
        <v>1</v>
      </c>
    </row>
    <row r="495" spans="1:5">
      <c r="A495" s="19" t="s">
        <v>5097</v>
      </c>
      <c r="B495" s="19">
        <v>20180104</v>
      </c>
      <c r="C495" s="19" t="s">
        <v>5132</v>
      </c>
      <c r="D495" s="2" t="s">
        <v>7</v>
      </c>
      <c r="E495" s="3">
        <v>1</v>
      </c>
    </row>
    <row r="496" spans="1:5">
      <c r="A496" s="19" t="s">
        <v>5097</v>
      </c>
      <c r="B496" s="19">
        <v>20180105</v>
      </c>
      <c r="C496" s="19" t="s">
        <v>914</v>
      </c>
      <c r="D496" s="2" t="s">
        <v>7</v>
      </c>
      <c r="E496" s="3">
        <v>1</v>
      </c>
    </row>
    <row r="497" spans="1:5">
      <c r="A497" s="19" t="s">
        <v>5097</v>
      </c>
      <c r="B497" s="19">
        <v>20180106</v>
      </c>
      <c r="C497" s="19" t="s">
        <v>5127</v>
      </c>
      <c r="D497" s="2" t="s">
        <v>7</v>
      </c>
      <c r="E497" s="3">
        <v>1</v>
      </c>
    </row>
    <row r="498" spans="1:5">
      <c r="A498" s="19" t="s">
        <v>5097</v>
      </c>
      <c r="B498" s="19">
        <v>20180107</v>
      </c>
      <c r="C498" s="19" t="s">
        <v>130</v>
      </c>
      <c r="D498" s="2" t="s">
        <v>7</v>
      </c>
      <c r="E498" s="3">
        <v>1</v>
      </c>
    </row>
    <row r="499" spans="1:5">
      <c r="A499" s="19" t="s">
        <v>5097</v>
      </c>
      <c r="B499" s="19">
        <v>20180113</v>
      </c>
      <c r="C499" s="19" t="s">
        <v>5133</v>
      </c>
      <c r="D499" s="2" t="s">
        <v>7</v>
      </c>
      <c r="E499" s="3">
        <v>1</v>
      </c>
    </row>
    <row r="500" spans="1:5">
      <c r="A500" s="19" t="s">
        <v>5097</v>
      </c>
      <c r="B500" s="20">
        <v>20221214</v>
      </c>
      <c r="C500" s="20" t="s">
        <v>5134</v>
      </c>
      <c r="D500" s="2" t="s">
        <v>7</v>
      </c>
      <c r="E500" s="3">
        <v>1</v>
      </c>
    </row>
    <row r="501" spans="1:5">
      <c r="A501" s="19" t="s">
        <v>5097</v>
      </c>
      <c r="B501" s="20">
        <v>20221215</v>
      </c>
      <c r="C501" s="20" t="s">
        <v>5135</v>
      </c>
      <c r="D501" s="2" t="s">
        <v>7</v>
      </c>
      <c r="E501" s="3">
        <v>1</v>
      </c>
    </row>
    <row r="502" spans="1:5">
      <c r="A502" s="19" t="s">
        <v>5097</v>
      </c>
      <c r="B502" s="20">
        <v>20221216</v>
      </c>
      <c r="C502" s="20" t="s">
        <v>5135</v>
      </c>
      <c r="D502" s="2" t="s">
        <v>7</v>
      </c>
      <c r="E502" s="3">
        <v>1</v>
      </c>
    </row>
    <row r="503" spans="1:5">
      <c r="A503" s="19" t="s">
        <v>5097</v>
      </c>
      <c r="B503" s="20">
        <v>20221217</v>
      </c>
      <c r="C503" s="20" t="s">
        <v>5135</v>
      </c>
      <c r="D503" s="2" t="s">
        <v>7</v>
      </c>
      <c r="E503" s="3">
        <v>1</v>
      </c>
    </row>
    <row r="504" spans="1:5">
      <c r="A504" s="19" t="s">
        <v>5097</v>
      </c>
      <c r="B504" s="20">
        <v>20221218</v>
      </c>
      <c r="C504" s="20" t="s">
        <v>5135</v>
      </c>
      <c r="D504" s="2" t="s">
        <v>7</v>
      </c>
      <c r="E504" s="3">
        <v>1</v>
      </c>
    </row>
    <row r="505" spans="1:5">
      <c r="A505" s="19" t="s">
        <v>5097</v>
      </c>
      <c r="B505" s="20">
        <v>20221219</v>
      </c>
      <c r="C505" s="20" t="s">
        <v>5135</v>
      </c>
      <c r="D505" s="2" t="s">
        <v>7</v>
      </c>
      <c r="E505" s="3">
        <v>1</v>
      </c>
    </row>
    <row r="506" spans="1:5">
      <c r="A506" s="19" t="s">
        <v>5097</v>
      </c>
      <c r="B506" s="20">
        <v>20221220</v>
      </c>
      <c r="C506" s="20" t="s">
        <v>5135</v>
      </c>
      <c r="D506" s="2" t="s">
        <v>7</v>
      </c>
      <c r="E506" s="3">
        <v>1</v>
      </c>
    </row>
    <row r="507" spans="1:5">
      <c r="A507" s="19" t="s">
        <v>5097</v>
      </c>
      <c r="B507" s="20">
        <v>20221221</v>
      </c>
      <c r="C507" s="20" t="s">
        <v>5135</v>
      </c>
      <c r="D507" s="2" t="s">
        <v>7</v>
      </c>
      <c r="E507" s="3">
        <v>1</v>
      </c>
    </row>
    <row r="508" spans="1:5">
      <c r="A508" s="19" t="s">
        <v>5097</v>
      </c>
      <c r="B508" s="20">
        <v>20221222</v>
      </c>
      <c r="C508" s="20" t="s">
        <v>5135</v>
      </c>
      <c r="D508" s="2" t="s">
        <v>7</v>
      </c>
      <c r="E508" s="3">
        <v>1</v>
      </c>
    </row>
    <row r="509" spans="1:5">
      <c r="A509" s="19" t="s">
        <v>5097</v>
      </c>
      <c r="B509" s="20">
        <v>20221223</v>
      </c>
      <c r="C509" s="20" t="s">
        <v>5135</v>
      </c>
      <c r="D509" s="2" t="s">
        <v>7</v>
      </c>
      <c r="E509" s="3">
        <v>1</v>
      </c>
    </row>
    <row r="510" spans="1:5">
      <c r="A510" s="19" t="s">
        <v>5097</v>
      </c>
      <c r="B510" s="20">
        <v>20221224</v>
      </c>
      <c r="C510" s="20" t="s">
        <v>5135</v>
      </c>
      <c r="D510" s="2" t="s">
        <v>7</v>
      </c>
      <c r="E510" s="3">
        <v>1</v>
      </c>
    </row>
    <row r="511" spans="1:5">
      <c r="A511" s="19" t="s">
        <v>5097</v>
      </c>
      <c r="B511" s="20">
        <v>20221225</v>
      </c>
      <c r="C511" s="20" t="s">
        <v>5135</v>
      </c>
      <c r="D511" s="2" t="s">
        <v>7</v>
      </c>
      <c r="E511" s="3">
        <v>1</v>
      </c>
    </row>
    <row r="512" spans="1:5">
      <c r="A512" s="19" t="s">
        <v>5097</v>
      </c>
      <c r="B512" s="20">
        <v>20221226</v>
      </c>
      <c r="C512" s="20" t="s">
        <v>5135</v>
      </c>
      <c r="D512" s="2" t="s">
        <v>7</v>
      </c>
      <c r="E512" s="3">
        <v>1</v>
      </c>
    </row>
    <row r="513" spans="1:5">
      <c r="A513" s="19" t="s">
        <v>5097</v>
      </c>
      <c r="B513" s="20">
        <v>20221227</v>
      </c>
      <c r="C513" s="20" t="s">
        <v>5135</v>
      </c>
      <c r="D513" s="2" t="s">
        <v>7</v>
      </c>
      <c r="E513" s="3">
        <v>1</v>
      </c>
    </row>
    <row r="514" spans="1:5">
      <c r="A514" s="19" t="s">
        <v>5097</v>
      </c>
      <c r="B514" s="20">
        <v>20221228</v>
      </c>
      <c r="C514" s="20" t="s">
        <v>5135</v>
      </c>
      <c r="D514" s="2" t="s">
        <v>7</v>
      </c>
      <c r="E514" s="3">
        <v>1</v>
      </c>
    </row>
    <row r="515" spans="1:5">
      <c r="A515" s="19" t="s">
        <v>5097</v>
      </c>
      <c r="B515" s="20">
        <v>20221229</v>
      </c>
      <c r="C515" s="20" t="s">
        <v>5135</v>
      </c>
      <c r="D515" s="2" t="s">
        <v>7</v>
      </c>
      <c r="E515" s="3">
        <v>1</v>
      </c>
    </row>
    <row r="516" spans="1:5">
      <c r="A516" s="19" t="s">
        <v>5097</v>
      </c>
      <c r="B516" s="20">
        <v>20221230</v>
      </c>
      <c r="C516" s="20" t="s">
        <v>5135</v>
      </c>
      <c r="D516" s="2" t="s">
        <v>7</v>
      </c>
      <c r="E516" s="3">
        <v>1</v>
      </c>
    </row>
    <row r="517" spans="1:5">
      <c r="A517" s="19" t="s">
        <v>5097</v>
      </c>
      <c r="B517" s="20">
        <v>20221231</v>
      </c>
      <c r="C517" s="20" t="s">
        <v>5135</v>
      </c>
      <c r="D517" s="2" t="s">
        <v>7</v>
      </c>
      <c r="E517" s="3">
        <v>1</v>
      </c>
    </row>
    <row r="518" spans="1:5">
      <c r="A518" s="19" t="s">
        <v>5097</v>
      </c>
      <c r="B518" s="20">
        <v>20221232</v>
      </c>
      <c r="C518" s="20" t="s">
        <v>5135</v>
      </c>
      <c r="D518" s="2" t="s">
        <v>7</v>
      </c>
      <c r="E518" s="3">
        <v>1</v>
      </c>
    </row>
    <row r="519" spans="1:5">
      <c r="A519" s="19" t="s">
        <v>5097</v>
      </c>
      <c r="B519" s="20">
        <v>20221233</v>
      </c>
      <c r="C519" s="20" t="s">
        <v>5135</v>
      </c>
      <c r="D519" s="2" t="s">
        <v>7</v>
      </c>
      <c r="E519" s="3">
        <v>1</v>
      </c>
    </row>
    <row r="520" spans="1:5">
      <c r="A520" s="19" t="s">
        <v>5097</v>
      </c>
      <c r="B520" s="20">
        <v>20221234</v>
      </c>
      <c r="C520" s="20" t="s">
        <v>5135</v>
      </c>
      <c r="D520" s="2" t="s">
        <v>7</v>
      </c>
      <c r="E520" s="3">
        <v>1</v>
      </c>
    </row>
    <row r="521" spans="1:5">
      <c r="A521" s="19" t="s">
        <v>5097</v>
      </c>
      <c r="B521" s="19">
        <v>20052012</v>
      </c>
      <c r="C521" s="19" t="s">
        <v>1140</v>
      </c>
      <c r="D521" s="2" t="s">
        <v>7</v>
      </c>
      <c r="E521" s="3">
        <v>1</v>
      </c>
    </row>
    <row r="522" spans="1:5">
      <c r="A522" s="19" t="s">
        <v>5097</v>
      </c>
      <c r="B522" s="19">
        <v>20110373</v>
      </c>
      <c r="C522" s="19" t="s">
        <v>96</v>
      </c>
      <c r="D522" s="2" t="s">
        <v>7</v>
      </c>
      <c r="E522" s="3">
        <v>1</v>
      </c>
    </row>
    <row r="523" spans="1:5">
      <c r="A523" s="19" t="s">
        <v>5097</v>
      </c>
      <c r="B523" s="19">
        <v>20110432</v>
      </c>
      <c r="C523" s="19" t="s">
        <v>365</v>
      </c>
      <c r="D523" s="2" t="s">
        <v>7</v>
      </c>
      <c r="E523" s="3">
        <v>1</v>
      </c>
    </row>
    <row r="524" spans="1:5">
      <c r="A524" s="19" t="s">
        <v>5097</v>
      </c>
      <c r="B524" s="19">
        <v>20052013</v>
      </c>
      <c r="C524" s="19" t="s">
        <v>1140</v>
      </c>
      <c r="D524" s="2" t="s">
        <v>7</v>
      </c>
      <c r="E524" s="3">
        <v>1</v>
      </c>
    </row>
    <row r="525" spans="1:5">
      <c r="A525" s="19" t="s">
        <v>5097</v>
      </c>
      <c r="B525" s="19">
        <v>20110374</v>
      </c>
      <c r="C525" s="19" t="s">
        <v>96</v>
      </c>
      <c r="D525" s="2" t="s">
        <v>7</v>
      </c>
      <c r="E525" s="3">
        <v>1</v>
      </c>
    </row>
    <row r="526" spans="1:5">
      <c r="A526" s="19" t="s">
        <v>5097</v>
      </c>
      <c r="B526" s="19">
        <v>20110401</v>
      </c>
      <c r="C526" s="19" t="s">
        <v>49</v>
      </c>
      <c r="D526" s="2" t="s">
        <v>7</v>
      </c>
      <c r="E526" s="3">
        <v>1</v>
      </c>
    </row>
    <row r="527" spans="1:5">
      <c r="A527" s="19" t="s">
        <v>5097</v>
      </c>
      <c r="B527" s="19">
        <v>20110375</v>
      </c>
      <c r="C527" s="19" t="s">
        <v>96</v>
      </c>
      <c r="D527" s="2" t="s">
        <v>7</v>
      </c>
      <c r="E527" s="3">
        <v>1</v>
      </c>
    </row>
    <row r="528" spans="1:5">
      <c r="A528" s="19" t="s">
        <v>5097</v>
      </c>
      <c r="B528" s="19">
        <v>20110400</v>
      </c>
      <c r="C528" s="19" t="s">
        <v>49</v>
      </c>
      <c r="D528" s="2" t="s">
        <v>7</v>
      </c>
      <c r="E528" s="3">
        <v>1</v>
      </c>
    </row>
    <row r="529" spans="1:5">
      <c r="A529" s="19" t="s">
        <v>5097</v>
      </c>
      <c r="B529" s="19">
        <v>20052014</v>
      </c>
      <c r="C529" s="19" t="s">
        <v>1140</v>
      </c>
      <c r="D529" s="2" t="s">
        <v>7</v>
      </c>
      <c r="E529" s="3">
        <v>1</v>
      </c>
    </row>
    <row r="530" spans="1:5">
      <c r="A530" s="19" t="s">
        <v>5097</v>
      </c>
      <c r="B530" s="19">
        <v>20110376</v>
      </c>
      <c r="C530" s="19" t="s">
        <v>96</v>
      </c>
      <c r="D530" s="2" t="s">
        <v>7</v>
      </c>
      <c r="E530" s="3">
        <v>1</v>
      </c>
    </row>
    <row r="531" spans="1:5">
      <c r="A531" s="19" t="s">
        <v>5097</v>
      </c>
      <c r="B531" s="19">
        <v>20052031</v>
      </c>
      <c r="C531" s="19" t="s">
        <v>1140</v>
      </c>
      <c r="D531" s="2" t="s">
        <v>7</v>
      </c>
      <c r="E531" s="3">
        <v>1</v>
      </c>
    </row>
    <row r="532" spans="1:5">
      <c r="A532" s="19" t="s">
        <v>5097</v>
      </c>
      <c r="B532" s="19">
        <v>20110377</v>
      </c>
      <c r="C532" s="19" t="s">
        <v>96</v>
      </c>
      <c r="D532" s="2" t="s">
        <v>7</v>
      </c>
      <c r="E532" s="3">
        <v>1</v>
      </c>
    </row>
    <row r="533" spans="1:5">
      <c r="A533" s="19" t="s">
        <v>5097</v>
      </c>
      <c r="B533" s="19">
        <v>20110414</v>
      </c>
      <c r="C533" s="19" t="s">
        <v>49</v>
      </c>
      <c r="D533" s="2" t="s">
        <v>7</v>
      </c>
      <c r="E533" s="3">
        <v>1</v>
      </c>
    </row>
    <row r="534" spans="1:5">
      <c r="A534" s="19" t="s">
        <v>5097</v>
      </c>
      <c r="B534" s="19">
        <v>20052032</v>
      </c>
      <c r="C534" s="19" t="s">
        <v>1140</v>
      </c>
      <c r="D534" s="2" t="s">
        <v>7</v>
      </c>
      <c r="E534" s="3">
        <v>1</v>
      </c>
    </row>
    <row r="535" spans="1:5">
      <c r="A535" s="19" t="s">
        <v>5097</v>
      </c>
      <c r="B535" s="19">
        <v>20110378</v>
      </c>
      <c r="C535" s="19" t="s">
        <v>96</v>
      </c>
      <c r="D535" s="2" t="s">
        <v>7</v>
      </c>
      <c r="E535" s="3">
        <v>1</v>
      </c>
    </row>
    <row r="536" spans="1:5">
      <c r="A536" s="19" t="s">
        <v>5097</v>
      </c>
      <c r="B536" s="19">
        <v>20052033</v>
      </c>
      <c r="C536" s="19" t="s">
        <v>1140</v>
      </c>
      <c r="D536" s="2" t="s">
        <v>7</v>
      </c>
      <c r="E536" s="3">
        <v>1</v>
      </c>
    </row>
    <row r="537" spans="1:5">
      <c r="A537" s="19" t="s">
        <v>5097</v>
      </c>
      <c r="B537" s="19">
        <v>20110379</v>
      </c>
      <c r="C537" s="19" t="s">
        <v>96</v>
      </c>
      <c r="D537" s="2" t="s">
        <v>7</v>
      </c>
      <c r="E537" s="3">
        <v>1</v>
      </c>
    </row>
    <row r="538" spans="1:5">
      <c r="A538" s="19" t="s">
        <v>5097</v>
      </c>
      <c r="B538" s="19">
        <v>20110402</v>
      </c>
      <c r="C538" s="19" t="s">
        <v>49</v>
      </c>
      <c r="D538" s="2" t="s">
        <v>7</v>
      </c>
      <c r="E538" s="3">
        <v>1</v>
      </c>
    </row>
    <row r="539" spans="1:5">
      <c r="A539" s="19" t="s">
        <v>5097</v>
      </c>
      <c r="B539" s="19">
        <v>20110395</v>
      </c>
      <c r="C539" s="19" t="s">
        <v>96</v>
      </c>
      <c r="D539" s="2" t="s">
        <v>7</v>
      </c>
      <c r="E539" s="3">
        <v>1</v>
      </c>
    </row>
    <row r="540" spans="1:5">
      <c r="A540" s="19" t="s">
        <v>5097</v>
      </c>
      <c r="B540" s="19">
        <v>20110417</v>
      </c>
      <c r="C540" s="19" t="s">
        <v>49</v>
      </c>
      <c r="D540" s="2" t="s">
        <v>7</v>
      </c>
      <c r="E540" s="3">
        <v>1</v>
      </c>
    </row>
    <row r="541" spans="1:5">
      <c r="A541" s="19" t="s">
        <v>5097</v>
      </c>
      <c r="B541" s="19">
        <v>20052035</v>
      </c>
      <c r="C541" s="19" t="s">
        <v>1140</v>
      </c>
      <c r="D541" s="2" t="s">
        <v>7</v>
      </c>
      <c r="E541" s="3">
        <v>1</v>
      </c>
    </row>
    <row r="542" spans="1:5">
      <c r="A542" s="19" t="s">
        <v>5097</v>
      </c>
      <c r="B542" s="19">
        <v>20110381</v>
      </c>
      <c r="C542" s="19" t="s">
        <v>96</v>
      </c>
      <c r="D542" s="2" t="s">
        <v>7</v>
      </c>
      <c r="E542" s="3">
        <v>1</v>
      </c>
    </row>
    <row r="543" spans="1:5">
      <c r="A543" s="19" t="s">
        <v>5097</v>
      </c>
      <c r="B543" s="19">
        <v>20052036</v>
      </c>
      <c r="C543" s="19" t="s">
        <v>1140</v>
      </c>
      <c r="D543" s="2" t="s">
        <v>7</v>
      </c>
      <c r="E543" s="3">
        <v>1</v>
      </c>
    </row>
    <row r="544" spans="1:5">
      <c r="A544" s="19" t="s">
        <v>5097</v>
      </c>
      <c r="B544" s="19">
        <v>20110382</v>
      </c>
      <c r="C544" s="19" t="s">
        <v>96</v>
      </c>
      <c r="D544" s="2" t="s">
        <v>7</v>
      </c>
      <c r="E544" s="3">
        <v>1</v>
      </c>
    </row>
    <row r="545" spans="1:5">
      <c r="A545" s="19" t="s">
        <v>5097</v>
      </c>
      <c r="B545" s="19">
        <v>20110396</v>
      </c>
      <c r="C545" s="19" t="s">
        <v>49</v>
      </c>
      <c r="D545" s="2" t="s">
        <v>7</v>
      </c>
      <c r="E545" s="3">
        <v>1</v>
      </c>
    </row>
    <row r="546" spans="1:5">
      <c r="A546" s="19" t="s">
        <v>5097</v>
      </c>
      <c r="B546" s="19">
        <v>20052037</v>
      </c>
      <c r="C546" s="19" t="s">
        <v>1140</v>
      </c>
      <c r="D546" s="2" t="s">
        <v>7</v>
      </c>
      <c r="E546" s="3">
        <v>1</v>
      </c>
    </row>
    <row r="547" spans="1:5">
      <c r="A547" s="19" t="s">
        <v>5097</v>
      </c>
      <c r="B547" s="19">
        <v>20110383</v>
      </c>
      <c r="C547" s="19" t="s">
        <v>96</v>
      </c>
      <c r="D547" s="2" t="s">
        <v>7</v>
      </c>
      <c r="E547" s="3">
        <v>1</v>
      </c>
    </row>
    <row r="548" spans="1:5">
      <c r="A548" s="19" t="s">
        <v>5097</v>
      </c>
      <c r="B548" s="19">
        <v>20110409</v>
      </c>
      <c r="C548" s="19" t="s">
        <v>49</v>
      </c>
      <c r="D548" s="2" t="s">
        <v>7</v>
      </c>
      <c r="E548" s="3">
        <v>1</v>
      </c>
    </row>
    <row r="549" spans="1:5">
      <c r="A549" s="19" t="s">
        <v>5097</v>
      </c>
      <c r="B549" s="19">
        <v>20052038</v>
      </c>
      <c r="C549" s="19" t="s">
        <v>1140</v>
      </c>
      <c r="D549" s="2" t="s">
        <v>7</v>
      </c>
      <c r="E549" s="3">
        <v>1</v>
      </c>
    </row>
    <row r="550" spans="1:5">
      <c r="A550" s="19" t="s">
        <v>5097</v>
      </c>
      <c r="B550" s="19">
        <v>20110384</v>
      </c>
      <c r="C550" s="19" t="s">
        <v>96</v>
      </c>
      <c r="D550" s="2" t="s">
        <v>7</v>
      </c>
      <c r="E550" s="3">
        <v>1</v>
      </c>
    </row>
    <row r="551" spans="1:5">
      <c r="A551" s="19" t="s">
        <v>5097</v>
      </c>
      <c r="B551" s="19">
        <v>20110411</v>
      </c>
      <c r="C551" s="19" t="s">
        <v>49</v>
      </c>
      <c r="D551" s="2" t="s">
        <v>7</v>
      </c>
      <c r="E551" s="3">
        <v>1</v>
      </c>
    </row>
    <row r="552" spans="1:5">
      <c r="A552" s="19" t="s">
        <v>5097</v>
      </c>
      <c r="B552" s="19">
        <v>20052039</v>
      </c>
      <c r="C552" s="19" t="s">
        <v>1140</v>
      </c>
      <c r="D552" s="2" t="s">
        <v>7</v>
      </c>
      <c r="E552" s="3">
        <v>1</v>
      </c>
    </row>
    <row r="553" spans="1:5">
      <c r="A553" s="19" t="s">
        <v>5097</v>
      </c>
      <c r="B553" s="19">
        <v>20110385</v>
      </c>
      <c r="C553" s="19" t="s">
        <v>96</v>
      </c>
      <c r="D553" s="2" t="s">
        <v>7</v>
      </c>
      <c r="E553" s="3">
        <v>1</v>
      </c>
    </row>
    <row r="554" spans="1:5">
      <c r="A554" s="19" t="s">
        <v>5097</v>
      </c>
      <c r="B554" s="19">
        <v>20161229</v>
      </c>
      <c r="C554" s="19" t="s">
        <v>49</v>
      </c>
      <c r="D554" s="2" t="s">
        <v>7</v>
      </c>
      <c r="E554" s="3">
        <v>1</v>
      </c>
    </row>
    <row r="555" spans="1:5">
      <c r="A555" s="19" t="s">
        <v>5097</v>
      </c>
      <c r="B555" s="19">
        <v>20052040</v>
      </c>
      <c r="C555" s="19" t="s">
        <v>1140</v>
      </c>
      <c r="D555" s="2" t="s">
        <v>7</v>
      </c>
      <c r="E555" s="3">
        <v>1</v>
      </c>
    </row>
    <row r="556" spans="1:5">
      <c r="A556" s="19" t="s">
        <v>5097</v>
      </c>
      <c r="B556" s="19">
        <v>20110386</v>
      </c>
      <c r="C556" s="19" t="s">
        <v>96</v>
      </c>
      <c r="D556" s="2" t="s">
        <v>7</v>
      </c>
      <c r="E556" s="3">
        <v>1</v>
      </c>
    </row>
    <row r="557" spans="1:5">
      <c r="A557" s="19" t="s">
        <v>5097</v>
      </c>
      <c r="B557" s="19">
        <v>20161230</v>
      </c>
      <c r="C557" s="19" t="s">
        <v>49</v>
      </c>
      <c r="D557" s="2" t="s">
        <v>7</v>
      </c>
      <c r="E557" s="3">
        <v>1</v>
      </c>
    </row>
    <row r="558" spans="1:5">
      <c r="A558" s="19" t="s">
        <v>5097</v>
      </c>
      <c r="B558" s="19">
        <v>20100765</v>
      </c>
      <c r="C558" s="19" t="s">
        <v>330</v>
      </c>
      <c r="D558" s="2" t="s">
        <v>7</v>
      </c>
      <c r="E558" s="3">
        <v>1</v>
      </c>
    </row>
    <row r="559" spans="1:5">
      <c r="A559" s="19" t="s">
        <v>5097</v>
      </c>
      <c r="B559" s="19">
        <v>20100766</v>
      </c>
      <c r="C559" s="19" t="s">
        <v>330</v>
      </c>
      <c r="D559" s="2" t="s">
        <v>7</v>
      </c>
      <c r="E559" s="3">
        <v>1</v>
      </c>
    </row>
    <row r="560" spans="1:5">
      <c r="A560" s="19" t="s">
        <v>5097</v>
      </c>
      <c r="B560" s="19">
        <v>20110387</v>
      </c>
      <c r="C560" s="19" t="s">
        <v>96</v>
      </c>
      <c r="D560" s="2" t="s">
        <v>7</v>
      </c>
      <c r="E560" s="3">
        <v>1</v>
      </c>
    </row>
    <row r="561" spans="1:5">
      <c r="A561" s="19" t="s">
        <v>5097</v>
      </c>
      <c r="B561" s="19">
        <v>20161231</v>
      </c>
      <c r="C561" s="19" t="s">
        <v>49</v>
      </c>
      <c r="D561" s="2" t="s">
        <v>7</v>
      </c>
      <c r="E561" s="3">
        <v>1</v>
      </c>
    </row>
    <row r="562" spans="1:5">
      <c r="A562" s="19" t="s">
        <v>5097</v>
      </c>
      <c r="B562" s="19">
        <v>20100767</v>
      </c>
      <c r="C562" s="19" t="s">
        <v>330</v>
      </c>
      <c r="D562" s="2" t="s">
        <v>7</v>
      </c>
      <c r="E562" s="3">
        <v>1</v>
      </c>
    </row>
    <row r="563" spans="1:5">
      <c r="A563" s="19" t="s">
        <v>5097</v>
      </c>
      <c r="B563" s="19">
        <v>20110388</v>
      </c>
      <c r="C563" s="19" t="s">
        <v>96</v>
      </c>
      <c r="D563" s="2" t="s">
        <v>7</v>
      </c>
      <c r="E563" s="3">
        <v>1</v>
      </c>
    </row>
    <row r="564" spans="1:5">
      <c r="A564" s="19" t="s">
        <v>5097</v>
      </c>
      <c r="B564" s="19">
        <v>20170041</v>
      </c>
      <c r="C564" s="19" t="s">
        <v>5060</v>
      </c>
      <c r="D564" s="2" t="s">
        <v>7</v>
      </c>
      <c r="E564" s="3">
        <v>1</v>
      </c>
    </row>
    <row r="565" spans="1:5">
      <c r="A565" s="19" t="s">
        <v>5097</v>
      </c>
      <c r="B565" s="19">
        <v>20100768</v>
      </c>
      <c r="C565" s="19" t="s">
        <v>330</v>
      </c>
      <c r="D565" s="2" t="s">
        <v>7</v>
      </c>
      <c r="E565" s="3">
        <v>1</v>
      </c>
    </row>
    <row r="566" spans="1:5">
      <c r="A566" s="19" t="s">
        <v>5097</v>
      </c>
      <c r="B566" s="19">
        <v>20110389</v>
      </c>
      <c r="C566" s="19" t="s">
        <v>96</v>
      </c>
      <c r="D566" s="2" t="s">
        <v>7</v>
      </c>
      <c r="E566" s="3">
        <v>1</v>
      </c>
    </row>
    <row r="567" spans="1:5">
      <c r="A567" s="19" t="s">
        <v>5097</v>
      </c>
      <c r="B567" s="19">
        <v>20221456</v>
      </c>
      <c r="C567" s="19" t="s">
        <v>49</v>
      </c>
      <c r="D567" s="2" t="s">
        <v>7</v>
      </c>
      <c r="E567" s="3">
        <v>1</v>
      </c>
    </row>
    <row r="568" spans="1:5">
      <c r="A568" s="19" t="s">
        <v>5097</v>
      </c>
      <c r="B568" s="19">
        <v>20100769</v>
      </c>
      <c r="C568" s="19" t="s">
        <v>330</v>
      </c>
      <c r="D568" s="2" t="s">
        <v>7</v>
      </c>
      <c r="E568" s="3">
        <v>1</v>
      </c>
    </row>
    <row r="569" spans="1:5">
      <c r="A569" s="19" t="s">
        <v>5097</v>
      </c>
      <c r="B569" s="19">
        <v>20170042</v>
      </c>
      <c r="C569" s="19" t="s">
        <v>5060</v>
      </c>
      <c r="D569" s="2" t="s">
        <v>7</v>
      </c>
      <c r="E569" s="3">
        <v>1</v>
      </c>
    </row>
    <row r="570" spans="1:5">
      <c r="A570" s="19" t="s">
        <v>5097</v>
      </c>
      <c r="B570" s="19">
        <v>20100770</v>
      </c>
      <c r="C570" s="19" t="s">
        <v>330</v>
      </c>
      <c r="D570" s="2" t="s">
        <v>7</v>
      </c>
      <c r="E570" s="3">
        <v>1</v>
      </c>
    </row>
    <row r="571" spans="1:5">
      <c r="A571" s="19" t="s">
        <v>5097</v>
      </c>
      <c r="B571" s="19">
        <v>20110390</v>
      </c>
      <c r="C571" s="19" t="s">
        <v>96</v>
      </c>
      <c r="D571" s="2" t="s">
        <v>7</v>
      </c>
      <c r="E571" s="3">
        <v>1</v>
      </c>
    </row>
    <row r="572" spans="1:5">
      <c r="A572" s="19" t="s">
        <v>5097</v>
      </c>
      <c r="B572" s="19">
        <v>20170043</v>
      </c>
      <c r="C572" s="19" t="s">
        <v>5060</v>
      </c>
      <c r="D572" s="2" t="s">
        <v>7</v>
      </c>
      <c r="E572" s="3">
        <v>1</v>
      </c>
    </row>
    <row r="573" spans="1:5">
      <c r="A573" s="19" t="s">
        <v>5097</v>
      </c>
      <c r="B573" s="19">
        <v>20110391</v>
      </c>
      <c r="C573" s="19" t="s">
        <v>96</v>
      </c>
      <c r="D573" s="2" t="s">
        <v>7</v>
      </c>
      <c r="E573" s="3">
        <v>1</v>
      </c>
    </row>
    <row r="574" spans="1:5">
      <c r="A574" s="19" t="s">
        <v>5097</v>
      </c>
      <c r="B574" s="19">
        <v>20170044</v>
      </c>
      <c r="C574" s="19" t="s">
        <v>5060</v>
      </c>
      <c r="D574" s="2" t="s">
        <v>7</v>
      </c>
      <c r="E574" s="3">
        <v>1</v>
      </c>
    </row>
    <row r="575" spans="1:5">
      <c r="A575" s="19" t="s">
        <v>5097</v>
      </c>
      <c r="B575" s="19">
        <v>20110392</v>
      </c>
      <c r="C575" s="19" t="s">
        <v>96</v>
      </c>
      <c r="D575" s="2" t="s">
        <v>7</v>
      </c>
      <c r="E575" s="3">
        <v>1</v>
      </c>
    </row>
    <row r="576" spans="1:5">
      <c r="A576" s="19" t="s">
        <v>5097</v>
      </c>
      <c r="B576" s="19">
        <v>20170045</v>
      </c>
      <c r="C576" s="19" t="s">
        <v>5060</v>
      </c>
      <c r="D576" s="2" t="s">
        <v>7</v>
      </c>
      <c r="E576" s="3">
        <v>1</v>
      </c>
    </row>
    <row r="577" spans="1:5">
      <c r="A577" s="19" t="s">
        <v>5097</v>
      </c>
      <c r="B577" s="19">
        <v>20190538</v>
      </c>
      <c r="C577" s="19" t="s">
        <v>337</v>
      </c>
      <c r="D577" s="2" t="s">
        <v>7</v>
      </c>
      <c r="E577" s="3">
        <v>1</v>
      </c>
    </row>
    <row r="578" spans="1:5">
      <c r="A578" s="19" t="s">
        <v>5097</v>
      </c>
      <c r="B578" s="19">
        <v>20190539</v>
      </c>
      <c r="C578" s="19" t="s">
        <v>337</v>
      </c>
      <c r="D578" s="2" t="s">
        <v>7</v>
      </c>
      <c r="E578" s="3">
        <v>1</v>
      </c>
    </row>
    <row r="579" spans="1:5">
      <c r="A579" s="19" t="s">
        <v>5097</v>
      </c>
      <c r="B579" s="19">
        <v>20190540</v>
      </c>
      <c r="C579" s="19" t="s">
        <v>96</v>
      </c>
      <c r="D579" s="2" t="s">
        <v>7</v>
      </c>
      <c r="E579" s="3">
        <v>1</v>
      </c>
    </row>
    <row r="580" spans="1:5">
      <c r="A580" s="19" t="s">
        <v>5097</v>
      </c>
      <c r="B580" s="19">
        <v>20190541</v>
      </c>
      <c r="C580" s="19" t="s">
        <v>2534</v>
      </c>
      <c r="D580" s="2" t="s">
        <v>7</v>
      </c>
      <c r="E580" s="3">
        <v>1</v>
      </c>
    </row>
    <row r="581" spans="1:5">
      <c r="A581" s="19" t="s">
        <v>5097</v>
      </c>
      <c r="B581" s="19">
        <v>20190542</v>
      </c>
      <c r="C581" s="19" t="s">
        <v>3210</v>
      </c>
      <c r="D581" s="2" t="s">
        <v>7</v>
      </c>
      <c r="E581" s="3">
        <v>1</v>
      </c>
    </row>
    <row r="582" spans="1:5">
      <c r="A582" s="19" t="s">
        <v>5097</v>
      </c>
      <c r="B582" s="19">
        <v>20190543</v>
      </c>
      <c r="C582" s="19" t="s">
        <v>5108</v>
      </c>
      <c r="D582" s="2" t="s">
        <v>7</v>
      </c>
      <c r="E582" s="3">
        <v>1</v>
      </c>
    </row>
    <row r="583" spans="1:5">
      <c r="A583" s="19" t="s">
        <v>5097</v>
      </c>
      <c r="B583" s="19">
        <v>20190544</v>
      </c>
      <c r="C583" s="19" t="s">
        <v>1140</v>
      </c>
      <c r="D583" s="2" t="s">
        <v>7</v>
      </c>
      <c r="E583" s="3">
        <v>1</v>
      </c>
    </row>
    <row r="584" spans="1:5">
      <c r="A584" s="19" t="s">
        <v>5097</v>
      </c>
      <c r="B584" s="19">
        <v>20190545</v>
      </c>
      <c r="C584" s="19" t="s">
        <v>2478</v>
      </c>
      <c r="D584" s="2" t="s">
        <v>7</v>
      </c>
      <c r="E584" s="3">
        <v>1</v>
      </c>
    </row>
    <row r="585" spans="1:5">
      <c r="A585" s="19" t="s">
        <v>5097</v>
      </c>
      <c r="B585" s="19">
        <v>20190546</v>
      </c>
      <c r="C585" s="19" t="s">
        <v>3212</v>
      </c>
      <c r="D585" s="2" t="s">
        <v>7</v>
      </c>
      <c r="E585" s="3">
        <v>1</v>
      </c>
    </row>
    <row r="586" spans="1:5">
      <c r="A586" s="19" t="s">
        <v>5097</v>
      </c>
      <c r="B586" s="19">
        <v>20190547</v>
      </c>
      <c r="C586" s="19" t="s">
        <v>3212</v>
      </c>
      <c r="D586" s="2" t="s">
        <v>7</v>
      </c>
      <c r="E586" s="3">
        <v>1</v>
      </c>
    </row>
    <row r="587" spans="1:5">
      <c r="A587" s="19" t="s">
        <v>5097</v>
      </c>
      <c r="B587" s="22">
        <v>20130262</v>
      </c>
      <c r="C587" s="22" t="s">
        <v>811</v>
      </c>
      <c r="D587" s="2" t="s">
        <v>7</v>
      </c>
      <c r="E587" s="3">
        <v>1</v>
      </c>
    </row>
    <row r="588" spans="1:5">
      <c r="A588" s="19" t="s">
        <v>5097</v>
      </c>
      <c r="B588" s="22">
        <v>20180735</v>
      </c>
      <c r="C588" s="22" t="s">
        <v>96</v>
      </c>
      <c r="D588" s="2" t="s">
        <v>7</v>
      </c>
      <c r="E588" s="3">
        <v>1</v>
      </c>
    </row>
    <row r="589" spans="1:5">
      <c r="A589" s="19" t="s">
        <v>5097</v>
      </c>
      <c r="B589" s="22">
        <v>20201026</v>
      </c>
      <c r="C589" s="22" t="s">
        <v>4681</v>
      </c>
      <c r="D589" s="2" t="s">
        <v>7</v>
      </c>
      <c r="E589" s="3">
        <v>1</v>
      </c>
    </row>
    <row r="590" spans="1:5">
      <c r="A590" s="19" t="s">
        <v>5097</v>
      </c>
      <c r="B590" s="22">
        <v>20090011</v>
      </c>
      <c r="C590" s="22" t="s">
        <v>96</v>
      </c>
      <c r="D590" s="2" t="s">
        <v>7</v>
      </c>
      <c r="E590" s="3">
        <v>1</v>
      </c>
    </row>
    <row r="591" spans="1:5">
      <c r="A591" s="19" t="s">
        <v>5097</v>
      </c>
      <c r="B591" s="22">
        <v>20090470</v>
      </c>
      <c r="C591" s="22" t="s">
        <v>811</v>
      </c>
      <c r="D591" s="2" t="s">
        <v>7</v>
      </c>
      <c r="E591" s="3">
        <v>1</v>
      </c>
    </row>
    <row r="592" spans="1:5">
      <c r="A592" s="19" t="s">
        <v>5097</v>
      </c>
      <c r="B592" s="22">
        <v>20120497</v>
      </c>
      <c r="C592" s="22" t="s">
        <v>96</v>
      </c>
      <c r="D592" s="2" t="s">
        <v>7</v>
      </c>
      <c r="E592" s="3">
        <v>1</v>
      </c>
    </row>
    <row r="593" spans="1:5">
      <c r="A593" s="19" t="s">
        <v>5097</v>
      </c>
      <c r="B593" s="22">
        <v>20120495</v>
      </c>
      <c r="C593" s="22" t="s">
        <v>811</v>
      </c>
      <c r="D593" s="2" t="s">
        <v>7</v>
      </c>
      <c r="E593" s="3">
        <v>1</v>
      </c>
    </row>
    <row r="594" spans="1:5">
      <c r="A594" s="19" t="s">
        <v>5097</v>
      </c>
      <c r="B594" s="22">
        <v>20190779</v>
      </c>
      <c r="C594" s="22" t="s">
        <v>96</v>
      </c>
      <c r="D594" s="2" t="s">
        <v>7</v>
      </c>
      <c r="E594" s="3">
        <v>1</v>
      </c>
    </row>
    <row r="595" spans="1:5">
      <c r="A595" s="19" t="s">
        <v>5097</v>
      </c>
      <c r="B595" s="22">
        <v>20100830</v>
      </c>
      <c r="C595" s="22" t="s">
        <v>811</v>
      </c>
      <c r="D595" s="2" t="s">
        <v>7</v>
      </c>
      <c r="E595" s="3">
        <v>1</v>
      </c>
    </row>
    <row r="596" spans="1:5">
      <c r="A596" s="19" t="s">
        <v>5097</v>
      </c>
      <c r="B596" s="22">
        <v>20120496</v>
      </c>
      <c r="C596" s="22" t="s">
        <v>96</v>
      </c>
      <c r="D596" s="2" t="s">
        <v>7</v>
      </c>
      <c r="E596" s="3">
        <v>1</v>
      </c>
    </row>
    <row r="597" spans="1:5">
      <c r="A597" s="19" t="s">
        <v>5097</v>
      </c>
      <c r="B597" s="22">
        <v>20120799</v>
      </c>
      <c r="C597" s="22" t="s">
        <v>811</v>
      </c>
      <c r="D597" s="2" t="s">
        <v>7</v>
      </c>
      <c r="E597" s="3">
        <v>1</v>
      </c>
    </row>
    <row r="598" spans="1:5">
      <c r="A598" s="19" t="s">
        <v>5097</v>
      </c>
      <c r="B598" s="22">
        <v>20130267</v>
      </c>
      <c r="C598" s="22" t="s">
        <v>96</v>
      </c>
      <c r="D598" s="2" t="s">
        <v>7</v>
      </c>
      <c r="E598" s="3">
        <v>1</v>
      </c>
    </row>
    <row r="599" spans="1:5">
      <c r="A599" s="19" t="s">
        <v>5097</v>
      </c>
      <c r="B599" s="22">
        <v>20150468</v>
      </c>
      <c r="C599" s="22" t="s">
        <v>811</v>
      </c>
      <c r="D599" s="2" t="s">
        <v>7</v>
      </c>
      <c r="E599" s="3">
        <v>1</v>
      </c>
    </row>
    <row r="600" spans="1:5">
      <c r="A600" s="19" t="s">
        <v>5097</v>
      </c>
      <c r="B600" s="22">
        <v>20150118</v>
      </c>
      <c r="C600" s="22" t="s">
        <v>811</v>
      </c>
      <c r="D600" s="2" t="s">
        <v>7</v>
      </c>
      <c r="E600" s="3">
        <v>1</v>
      </c>
    </row>
    <row r="601" spans="1:5">
      <c r="A601" s="19" t="s">
        <v>5097</v>
      </c>
      <c r="B601" s="22">
        <v>20170462</v>
      </c>
      <c r="C601" s="22" t="s">
        <v>96</v>
      </c>
      <c r="D601" s="2" t="s">
        <v>7</v>
      </c>
      <c r="E601" s="3">
        <v>1</v>
      </c>
    </row>
    <row r="602" spans="1:5">
      <c r="A602" s="19" t="s">
        <v>5097</v>
      </c>
      <c r="B602" s="22">
        <v>20130266</v>
      </c>
      <c r="C602" s="22" t="s">
        <v>96</v>
      </c>
      <c r="D602" s="2" t="s">
        <v>7</v>
      </c>
      <c r="E602" s="3">
        <v>1</v>
      </c>
    </row>
    <row r="603" spans="1:5">
      <c r="A603" s="19" t="s">
        <v>5097</v>
      </c>
      <c r="B603" s="19">
        <v>20080374</v>
      </c>
      <c r="C603" s="19" t="s">
        <v>49</v>
      </c>
      <c r="D603" s="2" t="s">
        <v>7</v>
      </c>
      <c r="E603" s="3">
        <v>1</v>
      </c>
    </row>
    <row r="604" spans="1:5">
      <c r="A604" s="19" t="s">
        <v>5097</v>
      </c>
      <c r="B604" s="19">
        <v>20160857</v>
      </c>
      <c r="C604" s="19" t="s">
        <v>5136</v>
      </c>
      <c r="D604" s="2" t="s">
        <v>7</v>
      </c>
      <c r="E604" s="3">
        <v>1</v>
      </c>
    </row>
    <row r="605" spans="1:5">
      <c r="A605" s="19" t="s">
        <v>5097</v>
      </c>
      <c r="B605" s="19">
        <v>20160858</v>
      </c>
      <c r="C605" s="19" t="s">
        <v>5136</v>
      </c>
      <c r="D605" s="2" t="s">
        <v>7</v>
      </c>
      <c r="E605" s="3">
        <v>1</v>
      </c>
    </row>
    <row r="606" spans="1:5">
      <c r="A606" s="19" t="s">
        <v>5097</v>
      </c>
      <c r="B606" s="19">
        <v>20160462</v>
      </c>
      <c r="C606" s="19" t="s">
        <v>3210</v>
      </c>
      <c r="D606" s="2" t="s">
        <v>7</v>
      </c>
      <c r="E606" s="3">
        <v>1</v>
      </c>
    </row>
    <row r="607" spans="1:5">
      <c r="A607" s="19" t="s">
        <v>5097</v>
      </c>
      <c r="B607" s="19">
        <v>20160610</v>
      </c>
      <c r="C607" s="19" t="s">
        <v>49</v>
      </c>
      <c r="D607" s="2" t="s">
        <v>7</v>
      </c>
      <c r="E607" s="3">
        <v>1</v>
      </c>
    </row>
    <row r="608" spans="1:5">
      <c r="A608" s="19" t="s">
        <v>5097</v>
      </c>
      <c r="B608" s="19">
        <v>20160461</v>
      </c>
      <c r="C608" s="19" t="s">
        <v>3210</v>
      </c>
      <c r="D608" s="2" t="s">
        <v>7</v>
      </c>
      <c r="E608" s="3">
        <v>1</v>
      </c>
    </row>
    <row r="609" spans="1:5">
      <c r="A609" s="19" t="s">
        <v>5097</v>
      </c>
      <c r="B609" s="19">
        <v>20160611</v>
      </c>
      <c r="C609" s="19" t="s">
        <v>49</v>
      </c>
      <c r="D609" s="2" t="s">
        <v>7</v>
      </c>
      <c r="E609" s="3">
        <v>1</v>
      </c>
    </row>
    <row r="610" ht="14.25" spans="1:5">
      <c r="A610" s="19" t="s">
        <v>5097</v>
      </c>
      <c r="B610" s="23">
        <v>20170337</v>
      </c>
      <c r="C610" s="23" t="s">
        <v>811</v>
      </c>
      <c r="D610" s="2" t="s">
        <v>7</v>
      </c>
      <c r="E610" s="3">
        <v>1</v>
      </c>
    </row>
    <row r="611" ht="14.25" spans="1:5">
      <c r="A611" s="19" t="s">
        <v>5097</v>
      </c>
      <c r="B611" s="23">
        <v>20170334</v>
      </c>
      <c r="C611" s="23" t="s">
        <v>5137</v>
      </c>
      <c r="D611" s="2" t="s">
        <v>7</v>
      </c>
      <c r="E611" s="3">
        <v>1</v>
      </c>
    </row>
    <row r="612" ht="14.25" spans="1:5">
      <c r="A612" s="19" t="s">
        <v>5097</v>
      </c>
      <c r="B612" s="23">
        <v>20190581</v>
      </c>
      <c r="C612" s="23" t="s">
        <v>811</v>
      </c>
      <c r="D612" s="2" t="s">
        <v>7</v>
      </c>
      <c r="E612" s="3">
        <v>1</v>
      </c>
    </row>
    <row r="613" ht="14.25" spans="1:5">
      <c r="A613" s="19" t="s">
        <v>5097</v>
      </c>
      <c r="B613" s="23">
        <v>20190381</v>
      </c>
      <c r="C613" s="23" t="s">
        <v>5137</v>
      </c>
      <c r="D613" s="2" t="s">
        <v>7</v>
      </c>
      <c r="E613" s="3">
        <v>1</v>
      </c>
    </row>
    <row r="614" ht="14.25" spans="1:5">
      <c r="A614" s="19" t="s">
        <v>5097</v>
      </c>
      <c r="B614" s="23">
        <v>20160500</v>
      </c>
      <c r="C614" s="23" t="s">
        <v>811</v>
      </c>
      <c r="D614" s="2" t="s">
        <v>7</v>
      </c>
      <c r="E614" s="3">
        <v>1</v>
      </c>
    </row>
    <row r="615" ht="14.25" spans="1:5">
      <c r="A615" s="19" t="s">
        <v>5097</v>
      </c>
      <c r="B615" s="24">
        <v>20180140</v>
      </c>
      <c r="C615" s="24" t="s">
        <v>5137</v>
      </c>
      <c r="D615" s="2" t="s">
        <v>7</v>
      </c>
      <c r="E615" s="3">
        <v>1</v>
      </c>
    </row>
    <row r="616" ht="14.25" spans="1:5">
      <c r="A616" s="19" t="s">
        <v>5097</v>
      </c>
      <c r="B616" s="24">
        <v>20120687</v>
      </c>
      <c r="C616" s="24" t="s">
        <v>811</v>
      </c>
      <c r="D616" s="2" t="s">
        <v>7</v>
      </c>
      <c r="E616" s="3">
        <v>1</v>
      </c>
    </row>
    <row r="617" ht="14.25" spans="1:5">
      <c r="A617" s="19" t="s">
        <v>5097</v>
      </c>
      <c r="B617" s="23">
        <v>20120570</v>
      </c>
      <c r="C617" s="23" t="s">
        <v>537</v>
      </c>
      <c r="D617" s="2" t="s">
        <v>7</v>
      </c>
      <c r="E617" s="3">
        <v>1</v>
      </c>
    </row>
    <row r="618" ht="14.25" spans="1:5">
      <c r="A618" s="19" t="s">
        <v>5097</v>
      </c>
      <c r="B618" s="23" t="s">
        <v>5065</v>
      </c>
      <c r="C618" s="23" t="s">
        <v>5138</v>
      </c>
      <c r="D618" s="2" t="s">
        <v>7</v>
      </c>
      <c r="E618" s="3">
        <v>1</v>
      </c>
    </row>
    <row r="619" ht="14.25" spans="1:5">
      <c r="A619" s="19" t="s">
        <v>5097</v>
      </c>
      <c r="B619" s="23" t="s">
        <v>5065</v>
      </c>
      <c r="C619" s="25" t="s">
        <v>5139</v>
      </c>
      <c r="D619" s="2" t="s">
        <v>7</v>
      </c>
      <c r="E619" s="3">
        <v>1</v>
      </c>
    </row>
    <row r="620" ht="14.25" spans="1:5">
      <c r="A620" s="19" t="s">
        <v>5097</v>
      </c>
      <c r="B620" s="23" t="s">
        <v>5065</v>
      </c>
      <c r="C620" s="25" t="s">
        <v>5139</v>
      </c>
      <c r="D620" s="2" t="s">
        <v>7</v>
      </c>
      <c r="E620" s="3">
        <v>1</v>
      </c>
    </row>
    <row r="621" ht="14.25" spans="1:5">
      <c r="A621" s="19" t="s">
        <v>5097</v>
      </c>
      <c r="B621" s="23" t="s">
        <v>5065</v>
      </c>
      <c r="C621" s="25" t="s">
        <v>5139</v>
      </c>
      <c r="D621" s="2" t="s">
        <v>7</v>
      </c>
      <c r="E621" s="3">
        <v>1</v>
      </c>
    </row>
    <row r="622" ht="14.25" spans="1:5">
      <c r="A622" s="19" t="s">
        <v>5097</v>
      </c>
      <c r="B622" s="23" t="s">
        <v>5065</v>
      </c>
      <c r="C622" s="25" t="s">
        <v>5139</v>
      </c>
      <c r="D622" s="2" t="s">
        <v>7</v>
      </c>
      <c r="E622" s="3">
        <v>1</v>
      </c>
    </row>
    <row r="623" ht="14.25" spans="1:5">
      <c r="A623" s="19" t="s">
        <v>5097</v>
      </c>
      <c r="B623" s="23" t="s">
        <v>5065</v>
      </c>
      <c r="C623" s="25" t="s">
        <v>5139</v>
      </c>
      <c r="D623" s="2" t="s">
        <v>7</v>
      </c>
      <c r="E623" s="3">
        <v>1</v>
      </c>
    </row>
    <row r="624" ht="14.25" spans="1:5">
      <c r="A624" s="19" t="s">
        <v>5097</v>
      </c>
      <c r="B624" s="23" t="s">
        <v>5065</v>
      </c>
      <c r="C624" s="25" t="s">
        <v>5139</v>
      </c>
      <c r="D624" s="2" t="s">
        <v>7</v>
      </c>
      <c r="E624" s="3">
        <v>1</v>
      </c>
    </row>
    <row r="625" ht="14.25" spans="1:5">
      <c r="A625" s="19" t="s">
        <v>5097</v>
      </c>
      <c r="B625" s="23" t="s">
        <v>5065</v>
      </c>
      <c r="C625" s="25" t="s">
        <v>5139</v>
      </c>
      <c r="D625" s="2" t="s">
        <v>7</v>
      </c>
      <c r="E625" s="3">
        <v>1</v>
      </c>
    </row>
    <row r="626" ht="14.25" spans="1:5">
      <c r="A626" s="19" t="s">
        <v>5097</v>
      </c>
      <c r="B626" s="23" t="s">
        <v>5065</v>
      </c>
      <c r="C626" s="25" t="s">
        <v>5139</v>
      </c>
      <c r="D626" s="2" t="s">
        <v>7</v>
      </c>
      <c r="E626" s="3">
        <v>1</v>
      </c>
    </row>
    <row r="627" ht="14.25" spans="1:5">
      <c r="A627" s="19" t="s">
        <v>5097</v>
      </c>
      <c r="B627" s="23" t="s">
        <v>5065</v>
      </c>
      <c r="C627" s="25" t="s">
        <v>5139</v>
      </c>
      <c r="D627" s="2" t="s">
        <v>7</v>
      </c>
      <c r="E627" s="3">
        <v>1</v>
      </c>
    </row>
    <row r="628" ht="14.25" spans="1:5">
      <c r="A628" s="19" t="s">
        <v>5097</v>
      </c>
      <c r="B628" s="23" t="s">
        <v>5065</v>
      </c>
      <c r="C628" s="25" t="s">
        <v>5139</v>
      </c>
      <c r="D628" s="2" t="s">
        <v>7</v>
      </c>
      <c r="E628" s="3">
        <v>1</v>
      </c>
    </row>
    <row r="629" ht="14.25" spans="1:5">
      <c r="A629" s="19" t="s">
        <v>5097</v>
      </c>
      <c r="B629" s="23" t="s">
        <v>5065</v>
      </c>
      <c r="C629" s="25" t="s">
        <v>5139</v>
      </c>
      <c r="D629" s="2" t="s">
        <v>7</v>
      </c>
      <c r="E629" s="3">
        <v>1</v>
      </c>
    </row>
    <row r="630" ht="14.25" spans="1:5">
      <c r="A630" s="19" t="s">
        <v>5097</v>
      </c>
      <c r="B630" s="23" t="s">
        <v>5065</v>
      </c>
      <c r="C630" s="25" t="s">
        <v>5139</v>
      </c>
      <c r="D630" s="2" t="s">
        <v>7</v>
      </c>
      <c r="E630" s="3">
        <v>1</v>
      </c>
    </row>
    <row r="631" ht="14.25" spans="1:5">
      <c r="A631" s="19" t="s">
        <v>5097</v>
      </c>
      <c r="B631" s="23" t="s">
        <v>5065</v>
      </c>
      <c r="C631" s="23" t="s">
        <v>5140</v>
      </c>
      <c r="D631" s="2" t="s">
        <v>7</v>
      </c>
      <c r="E631" s="3">
        <v>1</v>
      </c>
    </row>
    <row r="632" ht="14.25" spans="1:5">
      <c r="A632" s="19" t="s">
        <v>5097</v>
      </c>
      <c r="B632" s="23">
        <v>20100010</v>
      </c>
      <c r="C632" s="23" t="s">
        <v>811</v>
      </c>
      <c r="D632" s="2" t="s">
        <v>7</v>
      </c>
      <c r="E632" s="3">
        <v>1</v>
      </c>
    </row>
    <row r="633" ht="14.25" spans="1:5">
      <c r="A633" s="19" t="s">
        <v>5097</v>
      </c>
      <c r="B633" s="23" t="s">
        <v>5065</v>
      </c>
      <c r="C633" s="23" t="s">
        <v>95</v>
      </c>
      <c r="D633" s="2" t="s">
        <v>7</v>
      </c>
      <c r="E633" s="3">
        <v>1</v>
      </c>
    </row>
    <row r="634" ht="14.25" spans="1:5">
      <c r="A634" s="19" t="s">
        <v>5097</v>
      </c>
      <c r="B634" s="23">
        <v>20051986</v>
      </c>
      <c r="C634" s="23" t="s">
        <v>49</v>
      </c>
      <c r="D634" s="2" t="s">
        <v>7</v>
      </c>
      <c r="E634" s="3">
        <v>1</v>
      </c>
    </row>
    <row r="635" ht="14.25" spans="1:5">
      <c r="A635" s="19" t="s">
        <v>5097</v>
      </c>
      <c r="B635" s="23" t="s">
        <v>5065</v>
      </c>
      <c r="C635" s="23" t="s">
        <v>5126</v>
      </c>
      <c r="D635" s="2" t="s">
        <v>7</v>
      </c>
      <c r="E635" s="3">
        <v>1</v>
      </c>
    </row>
    <row r="636" ht="14.25" spans="1:5">
      <c r="A636" s="19" t="s">
        <v>5097</v>
      </c>
      <c r="B636" s="23" t="s">
        <v>5065</v>
      </c>
      <c r="C636" s="23" t="s">
        <v>5127</v>
      </c>
      <c r="D636" s="2" t="s">
        <v>7</v>
      </c>
      <c r="E636" s="3">
        <v>1</v>
      </c>
    </row>
    <row r="637" ht="14.25" spans="1:5">
      <c r="A637" s="19" t="s">
        <v>5097</v>
      </c>
      <c r="B637" s="23" t="s">
        <v>5065</v>
      </c>
      <c r="C637" s="23" t="s">
        <v>914</v>
      </c>
      <c r="D637" s="2" t="s">
        <v>7</v>
      </c>
      <c r="E637" s="3">
        <v>1</v>
      </c>
    </row>
    <row r="638" ht="14.25" spans="1:5">
      <c r="A638" s="19" t="s">
        <v>5097</v>
      </c>
      <c r="B638" s="23" t="s">
        <v>5065</v>
      </c>
      <c r="C638" s="23" t="s">
        <v>5141</v>
      </c>
      <c r="D638" s="2" t="s">
        <v>7</v>
      </c>
      <c r="E638" s="3">
        <v>1</v>
      </c>
    </row>
    <row r="639" ht="14.25" spans="1:5">
      <c r="A639" s="19" t="s">
        <v>5097</v>
      </c>
      <c r="B639" s="23" t="s">
        <v>5065</v>
      </c>
      <c r="C639" s="23" t="s">
        <v>362</v>
      </c>
      <c r="D639" s="2" t="s">
        <v>7</v>
      </c>
      <c r="E639" s="3">
        <v>1</v>
      </c>
    </row>
    <row r="640" ht="14.25" spans="1:5">
      <c r="A640" s="19" t="s">
        <v>5097</v>
      </c>
      <c r="B640" s="23" t="s">
        <v>5065</v>
      </c>
      <c r="C640" s="23" t="s">
        <v>5137</v>
      </c>
      <c r="D640" s="2" t="s">
        <v>7</v>
      </c>
      <c r="E640" s="3">
        <v>1</v>
      </c>
    </row>
    <row r="641" ht="14.25" spans="1:5">
      <c r="A641" s="19" t="s">
        <v>5097</v>
      </c>
      <c r="B641" s="23" t="s">
        <v>5142</v>
      </c>
      <c r="C641" s="23" t="s">
        <v>5143</v>
      </c>
      <c r="D641" s="2" t="s">
        <v>7</v>
      </c>
      <c r="E641" s="3">
        <v>1</v>
      </c>
    </row>
    <row r="642" ht="14.25" spans="1:5">
      <c r="A642" s="19" t="s">
        <v>5097</v>
      </c>
      <c r="B642" s="23" t="s">
        <v>5065</v>
      </c>
      <c r="C642" s="23" t="s">
        <v>5137</v>
      </c>
      <c r="D642" s="2" t="s">
        <v>7</v>
      </c>
      <c r="E642" s="3">
        <v>1</v>
      </c>
    </row>
    <row r="643" ht="14.25" spans="1:5">
      <c r="A643" s="19" t="s">
        <v>5097</v>
      </c>
      <c r="B643" s="23">
        <v>20180112</v>
      </c>
      <c r="C643" s="23" t="s">
        <v>5144</v>
      </c>
      <c r="D643" s="2" t="s">
        <v>7</v>
      </c>
      <c r="E643" s="3">
        <v>1</v>
      </c>
    </row>
    <row r="644" ht="14.25" spans="1:5">
      <c r="A644" s="19" t="s">
        <v>5097</v>
      </c>
      <c r="B644" s="23" t="s">
        <v>5065</v>
      </c>
      <c r="C644" s="23" t="s">
        <v>903</v>
      </c>
      <c r="D644" s="2" t="s">
        <v>7</v>
      </c>
      <c r="E644" s="3">
        <v>1</v>
      </c>
    </row>
    <row r="645" ht="14.25" spans="1:5">
      <c r="A645" s="19" t="s">
        <v>5097</v>
      </c>
      <c r="B645" s="23" t="s">
        <v>5065</v>
      </c>
      <c r="C645" s="23" t="s">
        <v>1140</v>
      </c>
      <c r="D645" s="2" t="s">
        <v>7</v>
      </c>
      <c r="E645" s="3">
        <v>1</v>
      </c>
    </row>
    <row r="646" ht="14.25" spans="1:5">
      <c r="A646" s="19" t="s">
        <v>5097</v>
      </c>
      <c r="B646" s="23" t="s">
        <v>5065</v>
      </c>
      <c r="C646" s="23" t="s">
        <v>1140</v>
      </c>
      <c r="D646" s="2" t="s">
        <v>7</v>
      </c>
      <c r="E646" s="3">
        <v>1</v>
      </c>
    </row>
    <row r="647" ht="14.25" spans="1:5">
      <c r="A647" s="19" t="s">
        <v>5097</v>
      </c>
      <c r="B647" s="23">
        <v>20120340</v>
      </c>
      <c r="C647" s="23" t="s">
        <v>5137</v>
      </c>
      <c r="D647" s="2" t="s">
        <v>7</v>
      </c>
      <c r="E647" s="3">
        <v>1</v>
      </c>
    </row>
    <row r="648" ht="14.25" spans="1:5">
      <c r="A648" s="19" t="s">
        <v>5097</v>
      </c>
      <c r="B648" s="23" t="s">
        <v>5065</v>
      </c>
      <c r="C648" s="23" t="s">
        <v>49</v>
      </c>
      <c r="D648" s="2" t="s">
        <v>7</v>
      </c>
      <c r="E648" s="3">
        <v>1</v>
      </c>
    </row>
    <row r="649" ht="14.25" spans="1:5">
      <c r="A649" s="19" t="s">
        <v>5097</v>
      </c>
      <c r="B649" s="23">
        <v>20030620</v>
      </c>
      <c r="C649" s="23" t="s">
        <v>1140</v>
      </c>
      <c r="D649" s="2" t="s">
        <v>7</v>
      </c>
      <c r="E649" s="3">
        <v>1</v>
      </c>
    </row>
    <row r="650" ht="14.25" spans="1:5">
      <c r="A650" s="19" t="s">
        <v>5097</v>
      </c>
      <c r="B650" s="23" t="s">
        <v>5065</v>
      </c>
      <c r="C650" s="23" t="s">
        <v>1140</v>
      </c>
      <c r="D650" s="2" t="s">
        <v>7</v>
      </c>
      <c r="E650" s="3">
        <v>1</v>
      </c>
    </row>
    <row r="651" ht="14.25" spans="1:5">
      <c r="A651" s="19" t="s">
        <v>5097</v>
      </c>
      <c r="B651" s="23">
        <v>20110405</v>
      </c>
      <c r="C651" s="23" t="s">
        <v>49</v>
      </c>
      <c r="D651" s="2" t="s">
        <v>7</v>
      </c>
      <c r="E651" s="3">
        <v>1</v>
      </c>
    </row>
    <row r="652" ht="14.25" spans="1:5">
      <c r="A652" s="19" t="s">
        <v>5097</v>
      </c>
      <c r="B652" s="23">
        <v>20180925</v>
      </c>
      <c r="C652" s="23" t="s">
        <v>49</v>
      </c>
      <c r="D652" s="2" t="s">
        <v>7</v>
      </c>
      <c r="E652" s="3">
        <v>1</v>
      </c>
    </row>
    <row r="653" ht="14.25" spans="1:5">
      <c r="A653" s="19" t="s">
        <v>5097</v>
      </c>
      <c r="B653" s="23" t="s">
        <v>5065</v>
      </c>
      <c r="C653" s="23" t="s">
        <v>365</v>
      </c>
      <c r="D653" s="2" t="s">
        <v>7</v>
      </c>
      <c r="E653" s="3">
        <v>1</v>
      </c>
    </row>
    <row r="654" ht="14.25" spans="1:5">
      <c r="A654" s="19" t="s">
        <v>5097</v>
      </c>
      <c r="B654" s="25" t="s">
        <v>5065</v>
      </c>
      <c r="C654" s="23" t="s">
        <v>120</v>
      </c>
      <c r="D654" s="2" t="s">
        <v>7</v>
      </c>
      <c r="E654" s="3">
        <v>1</v>
      </c>
    </row>
    <row r="655" ht="14.25" spans="1:5">
      <c r="A655" s="19" t="s">
        <v>5097</v>
      </c>
      <c r="B655" s="25" t="s">
        <v>5065</v>
      </c>
      <c r="C655" s="23" t="s">
        <v>5098</v>
      </c>
      <c r="D655" s="2" t="s">
        <v>7</v>
      </c>
      <c r="E655" s="3">
        <v>1</v>
      </c>
    </row>
    <row r="656" ht="14.25" spans="1:5">
      <c r="A656" s="19" t="s">
        <v>5097</v>
      </c>
      <c r="B656" s="25" t="s">
        <v>5065</v>
      </c>
      <c r="C656" s="23" t="s">
        <v>5098</v>
      </c>
      <c r="D656" s="2" t="s">
        <v>7</v>
      </c>
      <c r="E656" s="3">
        <v>1</v>
      </c>
    </row>
    <row r="657" ht="14.25" spans="1:5">
      <c r="A657" s="19" t="s">
        <v>5097</v>
      </c>
      <c r="B657" s="25" t="s">
        <v>5065</v>
      </c>
      <c r="C657" s="23" t="s">
        <v>811</v>
      </c>
      <c r="D657" s="2" t="s">
        <v>7</v>
      </c>
      <c r="E657" s="3">
        <v>1</v>
      </c>
    </row>
    <row r="658" ht="14.25" spans="1:5">
      <c r="A658" s="19" t="s">
        <v>5097</v>
      </c>
      <c r="B658" s="25" t="s">
        <v>5065</v>
      </c>
      <c r="C658" s="23" t="s">
        <v>811</v>
      </c>
      <c r="D658" s="2" t="s">
        <v>7</v>
      </c>
      <c r="E658" s="3">
        <v>1</v>
      </c>
    </row>
    <row r="659" ht="14.25" spans="1:5">
      <c r="A659" s="19" t="s">
        <v>5097</v>
      </c>
      <c r="B659" s="25" t="s">
        <v>5065</v>
      </c>
      <c r="C659" s="23" t="s">
        <v>2203</v>
      </c>
      <c r="D659" s="2" t="s">
        <v>7</v>
      </c>
      <c r="E659" s="3">
        <v>1</v>
      </c>
    </row>
    <row r="660" ht="14.25" spans="1:5">
      <c r="A660" s="19" t="s">
        <v>5097</v>
      </c>
      <c r="B660" s="25" t="s">
        <v>5065</v>
      </c>
      <c r="C660" s="23" t="s">
        <v>811</v>
      </c>
      <c r="D660" s="2" t="s">
        <v>7</v>
      </c>
      <c r="E660" s="3">
        <v>1</v>
      </c>
    </row>
    <row r="661" ht="14.25" spans="1:5">
      <c r="A661" s="19" t="s">
        <v>5097</v>
      </c>
      <c r="B661" s="25" t="s">
        <v>5065</v>
      </c>
      <c r="C661" s="23" t="s">
        <v>811</v>
      </c>
      <c r="D661" s="2" t="s">
        <v>7</v>
      </c>
      <c r="E661" s="3">
        <v>1</v>
      </c>
    </row>
    <row r="662" ht="14.25" spans="1:5">
      <c r="A662" s="19" t="s">
        <v>5097</v>
      </c>
      <c r="B662" s="25" t="s">
        <v>5065</v>
      </c>
      <c r="C662" s="23" t="s">
        <v>811</v>
      </c>
      <c r="D662" s="2" t="s">
        <v>7</v>
      </c>
      <c r="E662" s="3">
        <v>1</v>
      </c>
    </row>
    <row r="663" ht="14.25" spans="1:5">
      <c r="A663" s="19" t="s">
        <v>5097</v>
      </c>
      <c r="B663" s="25">
        <v>115660340</v>
      </c>
      <c r="C663" s="23" t="s">
        <v>5098</v>
      </c>
      <c r="D663" s="2" t="s">
        <v>7</v>
      </c>
      <c r="E663" s="3">
        <v>1</v>
      </c>
    </row>
    <row r="664" ht="14.25" spans="1:5">
      <c r="A664" s="19" t="s">
        <v>5097</v>
      </c>
      <c r="B664" s="25" t="s">
        <v>5065</v>
      </c>
      <c r="C664" s="23" t="s">
        <v>120</v>
      </c>
      <c r="D664" s="2" t="s">
        <v>7</v>
      </c>
      <c r="E664" s="3">
        <v>1</v>
      </c>
    </row>
    <row r="665" ht="14.25" spans="1:5">
      <c r="A665" s="19" t="s">
        <v>5097</v>
      </c>
      <c r="B665" s="25" t="s">
        <v>5065</v>
      </c>
      <c r="C665" s="23" t="s">
        <v>811</v>
      </c>
      <c r="D665" s="2" t="s">
        <v>7</v>
      </c>
      <c r="E665" s="3">
        <v>1</v>
      </c>
    </row>
    <row r="666" ht="14.25" spans="1:5">
      <c r="A666" s="19" t="s">
        <v>5097</v>
      </c>
      <c r="B666" s="25" t="s">
        <v>5065</v>
      </c>
      <c r="C666" s="23" t="s">
        <v>5104</v>
      </c>
      <c r="D666" s="2" t="s">
        <v>7</v>
      </c>
      <c r="E666" s="3">
        <v>1</v>
      </c>
    </row>
    <row r="667" ht="14.25" spans="1:5">
      <c r="A667" s="19" t="s">
        <v>5097</v>
      </c>
      <c r="B667" s="25" t="s">
        <v>5065</v>
      </c>
      <c r="C667" s="23" t="s">
        <v>5138</v>
      </c>
      <c r="D667" s="2" t="s">
        <v>7</v>
      </c>
      <c r="E667" s="3">
        <v>1</v>
      </c>
    </row>
    <row r="668" ht="14.25" spans="1:5">
      <c r="A668" s="19" t="s">
        <v>5097</v>
      </c>
      <c r="B668" s="25" t="s">
        <v>5065</v>
      </c>
      <c r="C668" s="23" t="s">
        <v>5137</v>
      </c>
      <c r="D668" s="2" t="s">
        <v>7</v>
      </c>
      <c r="E668" s="3">
        <v>1</v>
      </c>
    </row>
    <row r="669" ht="14.25" spans="1:5">
      <c r="A669" s="19" t="s">
        <v>5097</v>
      </c>
      <c r="B669" s="25" t="s">
        <v>5065</v>
      </c>
      <c r="C669" s="23" t="s">
        <v>5137</v>
      </c>
      <c r="D669" s="2" t="s">
        <v>7</v>
      </c>
      <c r="E669" s="3">
        <v>1</v>
      </c>
    </row>
    <row r="670" ht="14.25" spans="1:5">
      <c r="A670" s="19" t="s">
        <v>5097</v>
      </c>
      <c r="B670" s="25" t="s">
        <v>5065</v>
      </c>
      <c r="C670" s="23" t="s">
        <v>5145</v>
      </c>
      <c r="D670" s="2" t="s">
        <v>7</v>
      </c>
      <c r="E670" s="3">
        <v>1</v>
      </c>
    </row>
    <row r="671" ht="14.25" spans="1:5">
      <c r="A671" s="19" t="s">
        <v>5097</v>
      </c>
      <c r="B671" s="25" t="s">
        <v>5065</v>
      </c>
      <c r="C671" s="23" t="s">
        <v>5146</v>
      </c>
      <c r="D671" s="2" t="s">
        <v>7</v>
      </c>
      <c r="E671" s="3">
        <v>1</v>
      </c>
    </row>
    <row r="672" ht="14.25" spans="1:5">
      <c r="A672" s="19" t="s">
        <v>5097</v>
      </c>
      <c r="B672" s="25" t="s">
        <v>5065</v>
      </c>
      <c r="C672" s="23" t="s">
        <v>5147</v>
      </c>
      <c r="D672" s="2" t="s">
        <v>7</v>
      </c>
      <c r="E672" s="3">
        <v>1</v>
      </c>
    </row>
    <row r="673" ht="14.25" spans="1:5">
      <c r="A673" s="19" t="s">
        <v>5097</v>
      </c>
      <c r="B673" s="25" t="s">
        <v>5065</v>
      </c>
      <c r="C673" s="23" t="s">
        <v>5148</v>
      </c>
      <c r="D673" s="2" t="s">
        <v>7</v>
      </c>
      <c r="E673" s="3">
        <v>1</v>
      </c>
    </row>
    <row r="674" ht="14.25" spans="1:5">
      <c r="A674" s="19" t="s">
        <v>5097</v>
      </c>
      <c r="B674" s="25" t="s">
        <v>5065</v>
      </c>
      <c r="C674" s="23" t="s">
        <v>5149</v>
      </c>
      <c r="D674" s="2" t="s">
        <v>7</v>
      </c>
      <c r="E674" s="3">
        <v>1</v>
      </c>
    </row>
    <row r="675" ht="14.25" spans="1:5">
      <c r="A675" s="19" t="s">
        <v>5097</v>
      </c>
      <c r="B675" s="25" t="s">
        <v>5065</v>
      </c>
      <c r="C675" s="23" t="s">
        <v>5150</v>
      </c>
      <c r="D675" s="2" t="s">
        <v>7</v>
      </c>
      <c r="E675" s="3">
        <v>1</v>
      </c>
    </row>
    <row r="676" ht="14.25" spans="1:5">
      <c r="A676" s="19" t="s">
        <v>5097</v>
      </c>
      <c r="B676" s="25" t="s">
        <v>5065</v>
      </c>
      <c r="C676" s="23" t="s">
        <v>5151</v>
      </c>
      <c r="D676" s="2" t="s">
        <v>7</v>
      </c>
      <c r="E676" s="3">
        <v>1</v>
      </c>
    </row>
    <row r="677" ht="14.25" spans="1:5">
      <c r="A677" s="19" t="s">
        <v>5097</v>
      </c>
      <c r="B677" s="25" t="s">
        <v>5065</v>
      </c>
      <c r="C677" s="23" t="s">
        <v>5152</v>
      </c>
      <c r="D677" s="2" t="s">
        <v>7</v>
      </c>
      <c r="E677" s="3">
        <v>1</v>
      </c>
    </row>
    <row r="678" ht="14.25" spans="1:5">
      <c r="A678" s="19" t="s">
        <v>5097</v>
      </c>
      <c r="B678" s="25" t="s">
        <v>5065</v>
      </c>
      <c r="C678" s="23" t="s">
        <v>5153</v>
      </c>
      <c r="D678" s="2" t="s">
        <v>7</v>
      </c>
      <c r="E678" s="3">
        <v>1</v>
      </c>
    </row>
    <row r="679" ht="14.25" spans="1:5">
      <c r="A679" s="19" t="s">
        <v>5097</v>
      </c>
      <c r="B679" s="25" t="s">
        <v>5065</v>
      </c>
      <c r="C679" s="23" t="s">
        <v>5154</v>
      </c>
      <c r="D679" s="2" t="s">
        <v>7</v>
      </c>
      <c r="E679" s="3">
        <v>1</v>
      </c>
    </row>
    <row r="680" ht="14.25" spans="1:5">
      <c r="A680" s="19" t="s">
        <v>5097</v>
      </c>
      <c r="B680" s="25" t="s">
        <v>5065</v>
      </c>
      <c r="C680" s="23" t="s">
        <v>4765</v>
      </c>
      <c r="D680" s="2" t="s">
        <v>7</v>
      </c>
      <c r="E680" s="3">
        <v>1</v>
      </c>
    </row>
    <row r="681" ht="14.25" spans="1:5">
      <c r="A681" s="19" t="s">
        <v>5097</v>
      </c>
      <c r="B681" s="25" t="s">
        <v>5065</v>
      </c>
      <c r="C681" s="23" t="s">
        <v>811</v>
      </c>
      <c r="D681" s="2" t="s">
        <v>7</v>
      </c>
      <c r="E681" s="3">
        <v>1</v>
      </c>
    </row>
    <row r="682" ht="14.25" spans="1:5">
      <c r="A682" s="19" t="s">
        <v>5097</v>
      </c>
      <c r="B682" s="25" t="s">
        <v>5065</v>
      </c>
      <c r="C682" s="23" t="s">
        <v>5155</v>
      </c>
      <c r="D682" s="2" t="s">
        <v>7</v>
      </c>
      <c r="E682" s="3">
        <v>1</v>
      </c>
    </row>
    <row r="683" ht="14.25" spans="1:5">
      <c r="A683" s="19" t="s">
        <v>5097</v>
      </c>
      <c r="B683" s="25" t="s">
        <v>5065</v>
      </c>
      <c r="C683" s="23" t="s">
        <v>5155</v>
      </c>
      <c r="D683" s="2" t="s">
        <v>7</v>
      </c>
      <c r="E683" s="3">
        <v>1</v>
      </c>
    </row>
    <row r="684" ht="14.25" spans="1:5">
      <c r="A684" s="19" t="s">
        <v>5097</v>
      </c>
      <c r="B684" s="25" t="s">
        <v>5065</v>
      </c>
      <c r="C684" s="23" t="s">
        <v>5137</v>
      </c>
      <c r="D684" s="2" t="s">
        <v>7</v>
      </c>
      <c r="E684" s="3">
        <v>1</v>
      </c>
    </row>
    <row r="685" ht="14.25" spans="1:5">
      <c r="A685" s="19" t="s">
        <v>5097</v>
      </c>
      <c r="B685" s="25" t="s">
        <v>5065</v>
      </c>
      <c r="C685" s="23" t="s">
        <v>5156</v>
      </c>
      <c r="D685" s="2" t="s">
        <v>7</v>
      </c>
      <c r="E685" s="3">
        <v>1</v>
      </c>
    </row>
    <row r="686" ht="14.25" spans="1:5">
      <c r="A686" s="19" t="s">
        <v>5097</v>
      </c>
      <c r="B686" s="25" t="s">
        <v>5065</v>
      </c>
      <c r="C686" s="23" t="s">
        <v>5157</v>
      </c>
      <c r="D686" s="2" t="s">
        <v>7</v>
      </c>
      <c r="E686" s="3">
        <v>1</v>
      </c>
    </row>
    <row r="687" ht="14.25" spans="1:5">
      <c r="A687" s="19" t="s">
        <v>5097</v>
      </c>
      <c r="B687" s="25" t="s">
        <v>5065</v>
      </c>
      <c r="C687" s="23" t="s">
        <v>5158</v>
      </c>
      <c r="D687" s="2" t="s">
        <v>7</v>
      </c>
      <c r="E687" s="3">
        <v>1</v>
      </c>
    </row>
    <row r="688" ht="14.25" spans="1:5">
      <c r="A688" s="19" t="s">
        <v>5097</v>
      </c>
      <c r="B688" s="25" t="s">
        <v>5065</v>
      </c>
      <c r="C688" s="23" t="s">
        <v>5159</v>
      </c>
      <c r="D688" s="2" t="s">
        <v>7</v>
      </c>
      <c r="E688" s="3">
        <v>1</v>
      </c>
    </row>
    <row r="689" ht="14.25" spans="1:5">
      <c r="A689" s="19" t="s">
        <v>5097</v>
      </c>
      <c r="B689" s="23"/>
      <c r="C689" s="23" t="s">
        <v>235</v>
      </c>
      <c r="D689" s="2" t="s">
        <v>7</v>
      </c>
      <c r="E689" s="3">
        <v>1</v>
      </c>
    </row>
    <row r="690" ht="14.25" spans="1:5">
      <c r="A690" s="19" t="s">
        <v>5097</v>
      </c>
      <c r="B690" s="23"/>
      <c r="C690" s="23" t="s">
        <v>235</v>
      </c>
      <c r="D690" s="2" t="s">
        <v>7</v>
      </c>
      <c r="E690" s="3">
        <v>1</v>
      </c>
    </row>
    <row r="691" ht="14.25" spans="1:5">
      <c r="A691" s="19" t="s">
        <v>5097</v>
      </c>
      <c r="B691" s="23"/>
      <c r="C691" s="23" t="s">
        <v>235</v>
      </c>
      <c r="D691" s="2" t="s">
        <v>7</v>
      </c>
      <c r="E691" s="3">
        <v>1</v>
      </c>
    </row>
    <row r="692" spans="1:5">
      <c r="A692" s="19" t="s">
        <v>5097</v>
      </c>
      <c r="B692" s="18" t="s">
        <v>5160</v>
      </c>
      <c r="C692" s="18" t="s">
        <v>5161</v>
      </c>
      <c r="D692" s="2" t="s">
        <v>7</v>
      </c>
      <c r="E692" s="3">
        <v>1</v>
      </c>
    </row>
    <row r="693" spans="1:5">
      <c r="A693" s="19" t="s">
        <v>5097</v>
      </c>
      <c r="B693" s="18" t="s">
        <v>5162</v>
      </c>
      <c r="C693" s="18" t="s">
        <v>5161</v>
      </c>
      <c r="D693" s="2" t="s">
        <v>7</v>
      </c>
      <c r="E693" s="3">
        <v>1</v>
      </c>
    </row>
    <row r="694" spans="1:5">
      <c r="A694" s="19" t="s">
        <v>5097</v>
      </c>
      <c r="B694" s="18" t="s">
        <v>5163</v>
      </c>
      <c r="C694" s="18" t="s">
        <v>5164</v>
      </c>
      <c r="D694" s="2" t="s">
        <v>7</v>
      </c>
      <c r="E694" s="3">
        <v>1</v>
      </c>
    </row>
    <row r="695" spans="1:5">
      <c r="A695" s="19" t="s">
        <v>5097</v>
      </c>
      <c r="B695" s="18" t="s">
        <v>5165</v>
      </c>
      <c r="C695" s="26" t="s">
        <v>5164</v>
      </c>
      <c r="D695" s="2" t="s">
        <v>7</v>
      </c>
      <c r="E695" s="3">
        <v>1</v>
      </c>
    </row>
    <row r="696" spans="1:5">
      <c r="A696" s="19" t="s">
        <v>5097</v>
      </c>
      <c r="B696" s="18" t="s">
        <v>5162</v>
      </c>
      <c r="C696" s="26" t="s">
        <v>5137</v>
      </c>
      <c r="D696" s="2" t="s">
        <v>7</v>
      </c>
      <c r="E696" s="3">
        <v>1</v>
      </c>
    </row>
    <row r="697" spans="1:5">
      <c r="A697" s="19" t="s">
        <v>5097</v>
      </c>
      <c r="B697" s="18" t="s">
        <v>5166</v>
      </c>
      <c r="C697" s="18" t="s">
        <v>5137</v>
      </c>
      <c r="D697" s="2" t="s">
        <v>7</v>
      </c>
      <c r="E697" s="3">
        <v>1</v>
      </c>
    </row>
    <row r="698" spans="1:5">
      <c r="A698" s="19" t="s">
        <v>5097</v>
      </c>
      <c r="B698" s="18" t="s">
        <v>5165</v>
      </c>
      <c r="C698" s="26" t="s">
        <v>5167</v>
      </c>
      <c r="D698" s="2" t="s">
        <v>7</v>
      </c>
      <c r="E698" s="3">
        <v>1</v>
      </c>
    </row>
    <row r="699" spans="1:5">
      <c r="A699" s="19" t="s">
        <v>5097</v>
      </c>
      <c r="B699" s="18" t="s">
        <v>5165</v>
      </c>
      <c r="C699" s="26" t="s">
        <v>5168</v>
      </c>
      <c r="D699" s="2" t="s">
        <v>7</v>
      </c>
      <c r="E699" s="3">
        <v>1</v>
      </c>
    </row>
    <row r="700" spans="1:5">
      <c r="A700" s="19" t="s">
        <v>5097</v>
      </c>
      <c r="B700" s="18" t="s">
        <v>5165</v>
      </c>
      <c r="C700" s="26" t="s">
        <v>5169</v>
      </c>
      <c r="D700" s="2" t="s">
        <v>7</v>
      </c>
      <c r="E700" s="3">
        <v>1</v>
      </c>
    </row>
    <row r="701" spans="1:5">
      <c r="A701" s="19" t="s">
        <v>5097</v>
      </c>
      <c r="B701" s="18" t="s">
        <v>5170</v>
      </c>
      <c r="C701" s="26" t="s">
        <v>5136</v>
      </c>
      <c r="D701" s="2" t="s">
        <v>7</v>
      </c>
      <c r="E701" s="3">
        <v>1</v>
      </c>
    </row>
    <row r="702" spans="1:5">
      <c r="A702" s="19" t="s">
        <v>5097</v>
      </c>
      <c r="B702" s="18" t="s">
        <v>5170</v>
      </c>
      <c r="C702" s="26" t="s">
        <v>5136</v>
      </c>
      <c r="D702" s="2" t="s">
        <v>7</v>
      </c>
      <c r="E702" s="3">
        <v>1</v>
      </c>
    </row>
    <row r="703" spans="1:5">
      <c r="A703" s="19" t="s">
        <v>5097</v>
      </c>
      <c r="B703" s="18" t="s">
        <v>5170</v>
      </c>
      <c r="C703" s="26" t="s">
        <v>49</v>
      </c>
      <c r="D703" s="2" t="s">
        <v>7</v>
      </c>
      <c r="E703" s="3">
        <v>1</v>
      </c>
    </row>
    <row r="704" spans="1:5">
      <c r="A704" s="19" t="s">
        <v>5097</v>
      </c>
      <c r="B704" s="18" t="s">
        <v>5170</v>
      </c>
      <c r="C704" s="26" t="s">
        <v>96</v>
      </c>
      <c r="D704" s="2" t="s">
        <v>7</v>
      </c>
      <c r="E704" s="3">
        <v>1</v>
      </c>
    </row>
    <row r="705" spans="1:5">
      <c r="A705" s="19" t="s">
        <v>5097</v>
      </c>
      <c r="B705" s="18" t="s">
        <v>5170</v>
      </c>
      <c r="C705" s="26" t="s">
        <v>1140</v>
      </c>
      <c r="D705" s="2" t="s">
        <v>7</v>
      </c>
      <c r="E705" s="3">
        <v>1</v>
      </c>
    </row>
    <row r="706" spans="1:5">
      <c r="A706" s="19" t="s">
        <v>5097</v>
      </c>
      <c r="B706" s="18" t="s">
        <v>5166</v>
      </c>
      <c r="C706" s="26" t="s">
        <v>1853</v>
      </c>
      <c r="D706" s="2" t="s">
        <v>7</v>
      </c>
      <c r="E706" s="3">
        <v>1</v>
      </c>
    </row>
    <row r="707" spans="1:5">
      <c r="A707" s="19" t="s">
        <v>5097</v>
      </c>
      <c r="B707" s="18" t="s">
        <v>5166</v>
      </c>
      <c r="C707" s="26" t="s">
        <v>5171</v>
      </c>
      <c r="D707" s="2" t="s">
        <v>7</v>
      </c>
      <c r="E707" s="3">
        <v>1</v>
      </c>
    </row>
    <row r="708" spans="1:5">
      <c r="A708" s="19" t="s">
        <v>5097</v>
      </c>
      <c r="B708" s="18" t="s">
        <v>5166</v>
      </c>
      <c r="C708" s="26" t="s">
        <v>165</v>
      </c>
      <c r="D708" s="2" t="s">
        <v>7</v>
      </c>
      <c r="E708" s="3">
        <v>1</v>
      </c>
    </row>
    <row r="709" spans="1:5">
      <c r="A709" s="19" t="s">
        <v>5097</v>
      </c>
      <c r="B709" s="18" t="s">
        <v>5166</v>
      </c>
      <c r="C709" s="26" t="s">
        <v>5112</v>
      </c>
      <c r="D709" s="2" t="s">
        <v>7</v>
      </c>
      <c r="E709" s="3">
        <v>1</v>
      </c>
    </row>
    <row r="710" spans="1:5">
      <c r="A710" s="19" t="s">
        <v>5097</v>
      </c>
      <c r="B710" s="18" t="s">
        <v>5172</v>
      </c>
      <c r="C710" s="26" t="s">
        <v>5173</v>
      </c>
      <c r="D710" s="2" t="s">
        <v>7</v>
      </c>
      <c r="E710" s="3">
        <v>1</v>
      </c>
    </row>
    <row r="711" spans="1:5">
      <c r="A711" s="19" t="s">
        <v>5097</v>
      </c>
      <c r="B711" s="18" t="s">
        <v>5172</v>
      </c>
      <c r="C711" s="26" t="s">
        <v>5174</v>
      </c>
      <c r="D711" s="2" t="s">
        <v>7</v>
      </c>
      <c r="E711" s="3">
        <v>1</v>
      </c>
    </row>
    <row r="712" spans="1:5">
      <c r="A712" s="19" t="s">
        <v>5097</v>
      </c>
      <c r="B712" s="18" t="s">
        <v>5172</v>
      </c>
      <c r="C712" s="26" t="s">
        <v>5175</v>
      </c>
      <c r="D712" s="2" t="s">
        <v>7</v>
      </c>
      <c r="E712" s="3">
        <v>1</v>
      </c>
    </row>
    <row r="713" spans="1:5">
      <c r="A713" s="19" t="s">
        <v>5097</v>
      </c>
      <c r="B713" s="27" t="s">
        <v>5176</v>
      </c>
      <c r="C713" s="26" t="s">
        <v>5177</v>
      </c>
      <c r="D713" s="2" t="s">
        <v>7</v>
      </c>
      <c r="E713" s="3">
        <v>1</v>
      </c>
    </row>
    <row r="714" spans="1:5">
      <c r="A714" s="19" t="s">
        <v>5097</v>
      </c>
      <c r="B714" s="27" t="s">
        <v>5178</v>
      </c>
      <c r="C714" s="26" t="s">
        <v>5177</v>
      </c>
      <c r="D714" s="2" t="s">
        <v>7</v>
      </c>
      <c r="E714" s="3">
        <v>1</v>
      </c>
    </row>
    <row r="715" spans="1:5">
      <c r="A715" s="19" t="s">
        <v>5097</v>
      </c>
      <c r="B715" s="18" t="s">
        <v>5179</v>
      </c>
      <c r="C715" s="18" t="s">
        <v>5180</v>
      </c>
      <c r="D715" s="2" t="s">
        <v>7</v>
      </c>
      <c r="E715" s="3">
        <v>1</v>
      </c>
    </row>
    <row r="716" spans="1:5">
      <c r="A716" s="19" t="s">
        <v>5097</v>
      </c>
      <c r="B716" s="18" t="s">
        <v>5181</v>
      </c>
      <c r="C716" s="18" t="s">
        <v>96</v>
      </c>
      <c r="D716" s="2" t="s">
        <v>7</v>
      </c>
      <c r="E716" s="3">
        <v>1</v>
      </c>
    </row>
    <row r="717" spans="1:5">
      <c r="A717" s="19" t="s">
        <v>5097</v>
      </c>
      <c r="B717" s="18" t="s">
        <v>5181</v>
      </c>
      <c r="C717" s="18" t="s">
        <v>1140</v>
      </c>
      <c r="D717" s="2" t="s">
        <v>7</v>
      </c>
      <c r="E717" s="3">
        <v>1</v>
      </c>
    </row>
    <row r="718" spans="1:5">
      <c r="A718" s="19" t="s">
        <v>5097</v>
      </c>
      <c r="B718" s="18" t="s">
        <v>5182</v>
      </c>
      <c r="C718" s="18" t="s">
        <v>1853</v>
      </c>
      <c r="D718" s="2" t="s">
        <v>7</v>
      </c>
      <c r="E718" s="3">
        <v>1</v>
      </c>
    </row>
    <row r="719" spans="1:5">
      <c r="A719" s="19" t="s">
        <v>5097</v>
      </c>
      <c r="B719" s="18" t="s">
        <v>5182</v>
      </c>
      <c r="C719" s="18" t="s">
        <v>5171</v>
      </c>
      <c r="D719" s="2" t="s">
        <v>7</v>
      </c>
      <c r="E719" s="3">
        <v>1</v>
      </c>
    </row>
    <row r="720" spans="1:5">
      <c r="A720" s="19" t="s">
        <v>5097</v>
      </c>
      <c r="B720" s="18" t="s">
        <v>5182</v>
      </c>
      <c r="C720" s="18" t="s">
        <v>165</v>
      </c>
      <c r="D720" s="2" t="s">
        <v>7</v>
      </c>
      <c r="E720" s="3">
        <v>1</v>
      </c>
    </row>
    <row r="721" spans="1:5">
      <c r="A721" s="19" t="s">
        <v>5097</v>
      </c>
      <c r="B721" s="18" t="s">
        <v>5183</v>
      </c>
      <c r="C721" s="18" t="s">
        <v>165</v>
      </c>
      <c r="D721" s="2" t="s">
        <v>7</v>
      </c>
      <c r="E721" s="3">
        <v>1</v>
      </c>
    </row>
  </sheetData>
  <autoFilter xmlns:etc="http://www.wps.cn/officeDocument/2017/etCustomData" ref="A1:C721" etc:filterBottomFollowUsedRange="0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$A1:$XFD1"/>
    </sheetView>
  </sheetViews>
  <sheetFormatPr defaultColWidth="8.725" defaultRowHeight="13.5" outlineLevelRow="7" outlineLevelCol="4"/>
  <cols>
    <col min="1" max="1" width="10" customWidth="1"/>
    <col min="2" max="2" width="12" customWidth="1"/>
    <col min="3" max="3" width="23.0916666666667" customWidth="1"/>
  </cols>
  <sheetData>
    <row r="1" ht="18.75" spans="1:5">
      <c r="A1" s="17" t="s">
        <v>0</v>
      </c>
      <c r="B1" s="17" t="s">
        <v>1</v>
      </c>
      <c r="C1" s="17" t="s">
        <v>2</v>
      </c>
      <c r="D1" s="2" t="s">
        <v>3</v>
      </c>
      <c r="E1" s="2" t="s">
        <v>4</v>
      </c>
    </row>
    <row r="2" spans="1:5">
      <c r="A2" t="s">
        <v>5184</v>
      </c>
      <c r="B2">
        <v>20230064</v>
      </c>
      <c r="C2" t="s">
        <v>5185</v>
      </c>
      <c r="D2" s="2" t="s">
        <v>7</v>
      </c>
      <c r="E2" s="3">
        <v>1</v>
      </c>
    </row>
    <row r="3" spans="1:5">
      <c r="A3" t="s">
        <v>5184</v>
      </c>
      <c r="B3">
        <v>20161245</v>
      </c>
      <c r="C3" t="s">
        <v>5186</v>
      </c>
      <c r="D3" s="2" t="s">
        <v>7</v>
      </c>
      <c r="E3" s="3">
        <v>2</v>
      </c>
    </row>
    <row r="4" spans="1:5">
      <c r="A4" t="s">
        <v>5184</v>
      </c>
      <c r="B4">
        <v>20201079</v>
      </c>
      <c r="D4" s="2" t="s">
        <v>7</v>
      </c>
      <c r="E4" s="3">
        <v>1</v>
      </c>
    </row>
    <row r="5" spans="1:5">
      <c r="A5" t="s">
        <v>5184</v>
      </c>
      <c r="B5">
        <v>20200064</v>
      </c>
      <c r="C5" t="s">
        <v>5187</v>
      </c>
      <c r="D5" s="2" t="s">
        <v>7</v>
      </c>
      <c r="E5" s="3">
        <v>1</v>
      </c>
    </row>
    <row r="6" spans="1:5">
      <c r="A6" t="s">
        <v>5184</v>
      </c>
      <c r="B6">
        <v>20221581</v>
      </c>
      <c r="C6" t="s">
        <v>5188</v>
      </c>
      <c r="D6" s="2" t="s">
        <v>7</v>
      </c>
      <c r="E6" s="3">
        <v>1</v>
      </c>
    </row>
    <row r="7" spans="1:5">
      <c r="A7" t="s">
        <v>5184</v>
      </c>
      <c r="B7">
        <v>20221580</v>
      </c>
      <c r="C7" t="s">
        <v>5188</v>
      </c>
      <c r="D7" s="2" t="s">
        <v>7</v>
      </c>
      <c r="E7" s="3">
        <v>1</v>
      </c>
    </row>
    <row r="8" spans="1:5">
      <c r="A8" t="s">
        <v>5184</v>
      </c>
      <c r="B8">
        <v>20220965</v>
      </c>
      <c r="C8" t="s">
        <v>5189</v>
      </c>
      <c r="D8" s="2" t="s">
        <v>7</v>
      </c>
      <c r="E8" s="3">
        <v>1</v>
      </c>
    </row>
  </sheetData>
  <autoFilter xmlns:etc="http://www.wps.cn/officeDocument/2017/etCustomData" ref="A1:E8" etc:filterBottomFollowUsedRange="0">
    <extLst/>
  </autoFilter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8" workbookViewId="0">
      <selection activeCell="C18" sqref="C18"/>
    </sheetView>
  </sheetViews>
  <sheetFormatPr defaultColWidth="8.725" defaultRowHeight="13.5"/>
  <cols>
    <col min="2" max="2" width="31.6333333333333" style="6" customWidth="1"/>
    <col min="3" max="3" width="53.4583333333333" customWidth="1"/>
  </cols>
  <sheetData>
    <row r="1" ht="31.5" spans="1:10">
      <c r="A1" s="7" t="s">
        <v>5190</v>
      </c>
      <c r="B1" s="8"/>
      <c r="C1" s="7"/>
      <c r="D1" s="7"/>
      <c r="E1" s="7"/>
      <c r="F1" s="7"/>
      <c r="G1" s="7"/>
      <c r="H1" s="7"/>
      <c r="I1" s="7"/>
      <c r="J1" s="7"/>
    </row>
    <row r="2" ht="25.5" spans="1:10">
      <c r="A2" s="9" t="s">
        <v>5191</v>
      </c>
      <c r="B2" s="10" t="s">
        <v>5192</v>
      </c>
      <c r="C2" s="11" t="s">
        <v>5193</v>
      </c>
      <c r="D2" s="12" t="s">
        <v>5194</v>
      </c>
      <c r="E2" s="13"/>
      <c r="F2" s="14"/>
      <c r="G2" s="14"/>
      <c r="H2" s="14"/>
      <c r="I2" s="14"/>
      <c r="J2" s="14"/>
    </row>
    <row r="3" ht="20.25" spans="1:10">
      <c r="A3" s="9" t="s">
        <v>5195</v>
      </c>
      <c r="B3" s="15" t="s">
        <v>4579</v>
      </c>
      <c r="C3" s="9">
        <v>110</v>
      </c>
      <c r="D3" s="9">
        <v>20</v>
      </c>
      <c r="E3" s="13"/>
      <c r="F3" s="14"/>
      <c r="G3" s="14"/>
      <c r="H3" s="14"/>
      <c r="I3" s="14"/>
      <c r="J3" s="14"/>
    </row>
    <row r="4" ht="20.25" spans="1:10">
      <c r="A4" s="9">
        <v>1</v>
      </c>
      <c r="B4" s="15" t="s">
        <v>5</v>
      </c>
      <c r="C4" s="9">
        <v>150</v>
      </c>
      <c r="D4" s="9">
        <v>150</v>
      </c>
      <c r="E4" s="13"/>
      <c r="F4" s="14"/>
      <c r="G4" s="14"/>
      <c r="H4" s="14"/>
      <c r="I4" s="14"/>
      <c r="J4" s="14"/>
    </row>
    <row r="5" ht="20.25" spans="1:10">
      <c r="A5" s="9">
        <v>2</v>
      </c>
      <c r="B5" s="15" t="s">
        <v>237</v>
      </c>
      <c r="C5" s="9"/>
      <c r="D5" s="9">
        <v>400</v>
      </c>
      <c r="E5" s="13"/>
      <c r="F5" s="14"/>
      <c r="G5" s="14"/>
      <c r="H5" s="14"/>
      <c r="I5" s="14"/>
      <c r="J5" s="14"/>
    </row>
    <row r="6" ht="20.25" spans="1:10">
      <c r="A6" s="9">
        <v>3</v>
      </c>
      <c r="B6" s="15" t="s">
        <v>514</v>
      </c>
      <c r="C6" s="9">
        <v>0</v>
      </c>
      <c r="D6" s="9">
        <v>300</v>
      </c>
      <c r="E6" s="13"/>
      <c r="F6" s="14"/>
      <c r="G6" s="14"/>
      <c r="H6" s="14"/>
      <c r="I6" s="14"/>
      <c r="J6" s="14"/>
    </row>
    <row r="7" ht="20.25" spans="1:10">
      <c r="A7" s="9">
        <v>4</v>
      </c>
      <c r="B7" s="15" t="s">
        <v>747</v>
      </c>
      <c r="C7" s="9">
        <v>200</v>
      </c>
      <c r="D7" s="9">
        <v>200</v>
      </c>
      <c r="E7" s="13"/>
      <c r="F7" s="14"/>
      <c r="G7" s="14"/>
      <c r="H7" s="14"/>
      <c r="I7" s="14"/>
      <c r="J7" s="14"/>
    </row>
    <row r="8" ht="20.25" spans="1:10">
      <c r="A8" s="9">
        <v>5</v>
      </c>
      <c r="B8" s="15" t="s">
        <v>3538</v>
      </c>
      <c r="C8" s="9">
        <v>80</v>
      </c>
      <c r="D8" s="9">
        <v>20</v>
      </c>
      <c r="E8" s="13"/>
      <c r="F8" s="14"/>
      <c r="G8" s="14"/>
      <c r="H8" s="14"/>
      <c r="I8" s="14"/>
      <c r="J8" s="14"/>
    </row>
    <row r="9" ht="20.25" spans="1:10">
      <c r="A9" s="9">
        <v>7</v>
      </c>
      <c r="B9" s="15" t="s">
        <v>1991</v>
      </c>
      <c r="C9" s="9">
        <v>156</v>
      </c>
      <c r="D9" s="9">
        <v>5</v>
      </c>
      <c r="E9" s="16"/>
      <c r="F9" s="14"/>
      <c r="G9" s="14"/>
      <c r="H9" s="14"/>
      <c r="I9" s="14"/>
      <c r="J9" s="14"/>
    </row>
    <row r="10" ht="20.25" spans="1:10">
      <c r="A10" s="9">
        <v>8</v>
      </c>
      <c r="B10" s="15" t="s">
        <v>5045</v>
      </c>
      <c r="C10" s="9">
        <v>40</v>
      </c>
      <c r="D10" s="9">
        <v>10</v>
      </c>
      <c r="E10" s="13"/>
      <c r="F10" s="14"/>
      <c r="G10" s="14"/>
      <c r="H10" s="14"/>
      <c r="I10" s="14"/>
      <c r="J10" s="14"/>
    </row>
    <row r="11" ht="20.25" spans="1:10">
      <c r="A11" s="9">
        <v>9</v>
      </c>
      <c r="B11" s="15" t="s">
        <v>5094</v>
      </c>
      <c r="C11" s="9">
        <v>10</v>
      </c>
      <c r="D11" s="9">
        <v>10</v>
      </c>
      <c r="E11" s="13"/>
      <c r="F11" s="14"/>
      <c r="G11" s="14"/>
      <c r="H11" s="14"/>
      <c r="I11" s="14"/>
      <c r="J11" s="14"/>
    </row>
    <row r="12" ht="20.25" spans="1:10">
      <c r="A12" s="9">
        <v>10</v>
      </c>
      <c r="B12" s="10" t="s">
        <v>5196</v>
      </c>
      <c r="C12" s="9">
        <v>10</v>
      </c>
      <c r="D12" s="9"/>
      <c r="E12" s="13"/>
      <c r="F12" s="14"/>
      <c r="G12" s="14"/>
      <c r="H12" s="14"/>
      <c r="I12" s="14"/>
      <c r="J12" s="14"/>
    </row>
    <row r="13" ht="20.25" spans="1:10">
      <c r="A13" s="9"/>
      <c r="B13" s="10" t="s">
        <v>5197</v>
      </c>
      <c r="C13" s="9">
        <f>SUM(C3:C11)</f>
        <v>746</v>
      </c>
      <c r="D13" s="9">
        <f>SUM(D3:D11)</f>
        <v>1115</v>
      </c>
      <c r="E13" s="13"/>
      <c r="F13" s="14"/>
      <c r="G13" s="14"/>
      <c r="H13" s="14"/>
      <c r="I13" s="14"/>
      <c r="J13" s="14"/>
    </row>
  </sheetData>
  <mergeCells count="1">
    <mergeCell ref="A1:J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G62" sqref="G62"/>
    </sheetView>
  </sheetViews>
  <sheetFormatPr defaultColWidth="8.725" defaultRowHeight="13.5" outlineLevelCol="4"/>
  <cols>
    <col min="1" max="1" width="27.0916666666667" customWidth="1"/>
    <col min="3" max="3" width="17.27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s="1" t="s">
        <v>5198</v>
      </c>
      <c r="B2" s="1" t="s">
        <v>5199</v>
      </c>
      <c r="C2" s="1" t="s">
        <v>5200</v>
      </c>
      <c r="D2" s="2" t="s">
        <v>7</v>
      </c>
      <c r="E2" s="3">
        <v>1</v>
      </c>
    </row>
    <row r="3" spans="1:5">
      <c r="A3" s="1" t="s">
        <v>5198</v>
      </c>
      <c r="B3" s="1" t="s">
        <v>5201</v>
      </c>
      <c r="C3" s="1" t="s">
        <v>5200</v>
      </c>
      <c r="D3" s="2" t="s">
        <v>7</v>
      </c>
      <c r="E3" s="3">
        <v>1</v>
      </c>
    </row>
    <row r="4" spans="1:5">
      <c r="A4" s="1" t="s">
        <v>5198</v>
      </c>
      <c r="B4" s="1" t="s">
        <v>5202</v>
      </c>
      <c r="C4" s="1" t="s">
        <v>5203</v>
      </c>
      <c r="D4" s="2" t="s">
        <v>7</v>
      </c>
      <c r="E4" s="3">
        <v>1</v>
      </c>
    </row>
    <row r="5" spans="1:5">
      <c r="A5" s="1" t="s">
        <v>5198</v>
      </c>
      <c r="B5" s="1" t="s">
        <v>5204</v>
      </c>
      <c r="C5" s="1" t="s">
        <v>5205</v>
      </c>
      <c r="D5" s="2" t="s">
        <v>7</v>
      </c>
      <c r="E5" s="3">
        <v>1</v>
      </c>
    </row>
    <row r="6" spans="1:5">
      <c r="A6" s="1" t="s">
        <v>5198</v>
      </c>
      <c r="B6" s="1" t="s">
        <v>5206</v>
      </c>
      <c r="C6" s="1" t="s">
        <v>5205</v>
      </c>
      <c r="D6" s="2" t="s">
        <v>7</v>
      </c>
      <c r="E6" s="3">
        <v>1</v>
      </c>
    </row>
    <row r="7" spans="1:5">
      <c r="A7" s="1" t="s">
        <v>5198</v>
      </c>
      <c r="B7" s="1" t="s">
        <v>5207</v>
      </c>
      <c r="C7" s="1" t="s">
        <v>5205</v>
      </c>
      <c r="D7" s="2" t="s">
        <v>7</v>
      </c>
      <c r="E7" s="3">
        <v>1</v>
      </c>
    </row>
    <row r="8" spans="1:5">
      <c r="A8" s="1" t="s">
        <v>5198</v>
      </c>
      <c r="B8" s="1" t="s">
        <v>5208</v>
      </c>
      <c r="C8" s="1" t="s">
        <v>5205</v>
      </c>
      <c r="D8" s="2" t="s">
        <v>7</v>
      </c>
      <c r="E8" s="3">
        <v>1</v>
      </c>
    </row>
    <row r="9" spans="1:5">
      <c r="A9" s="1" t="s">
        <v>5198</v>
      </c>
      <c r="B9" s="1" t="s">
        <v>5209</v>
      </c>
      <c r="C9" s="1" t="s">
        <v>5205</v>
      </c>
      <c r="D9" s="2" t="s">
        <v>7</v>
      </c>
      <c r="E9" s="3">
        <v>1</v>
      </c>
    </row>
    <row r="10" spans="1:5">
      <c r="A10" s="1" t="s">
        <v>5198</v>
      </c>
      <c r="B10" s="1" t="s">
        <v>5210</v>
      </c>
      <c r="C10" s="1" t="s">
        <v>5205</v>
      </c>
      <c r="D10" s="2" t="s">
        <v>7</v>
      </c>
      <c r="E10" s="3">
        <v>1</v>
      </c>
    </row>
    <row r="11" spans="1:5">
      <c r="A11" s="1" t="s">
        <v>5198</v>
      </c>
      <c r="B11" s="1" t="s">
        <v>5211</v>
      </c>
      <c r="C11" s="1" t="s">
        <v>5205</v>
      </c>
      <c r="D11" s="2" t="s">
        <v>7</v>
      </c>
      <c r="E11" s="3">
        <v>1</v>
      </c>
    </row>
    <row r="12" spans="1:5">
      <c r="A12" s="1" t="s">
        <v>5198</v>
      </c>
      <c r="B12" s="1" t="s">
        <v>5212</v>
      </c>
      <c r="C12" s="1" t="s">
        <v>5205</v>
      </c>
      <c r="D12" s="2" t="s">
        <v>7</v>
      </c>
      <c r="E12" s="3">
        <v>1</v>
      </c>
    </row>
    <row r="13" spans="1:5">
      <c r="A13" s="1" t="s">
        <v>5198</v>
      </c>
      <c r="B13" s="1" t="s">
        <v>5213</v>
      </c>
      <c r="C13" s="1" t="s">
        <v>5214</v>
      </c>
      <c r="D13" s="2" t="s">
        <v>7</v>
      </c>
      <c r="E13" s="3">
        <v>1</v>
      </c>
    </row>
    <row r="14" spans="1:5">
      <c r="A14" s="1" t="s">
        <v>5198</v>
      </c>
      <c r="B14" s="1" t="s">
        <v>5215</v>
      </c>
      <c r="C14" s="1" t="s">
        <v>5214</v>
      </c>
      <c r="D14" s="2" t="s">
        <v>7</v>
      </c>
      <c r="E14" s="3">
        <v>1</v>
      </c>
    </row>
    <row r="15" spans="1:5">
      <c r="A15" s="1" t="s">
        <v>5198</v>
      </c>
      <c r="B15" s="1" t="s">
        <v>5216</v>
      </c>
      <c r="C15" s="1" t="s">
        <v>5214</v>
      </c>
      <c r="D15" s="2" t="s">
        <v>7</v>
      </c>
      <c r="E15" s="3">
        <v>1</v>
      </c>
    </row>
    <row r="16" spans="1:5">
      <c r="A16" s="1" t="s">
        <v>5198</v>
      </c>
      <c r="B16" s="1" t="s">
        <v>5217</v>
      </c>
      <c r="C16" s="1" t="s">
        <v>5214</v>
      </c>
      <c r="D16" s="2" t="s">
        <v>7</v>
      </c>
      <c r="E16" s="3">
        <v>1</v>
      </c>
    </row>
    <row r="17" spans="1:5">
      <c r="A17" s="1" t="s">
        <v>5198</v>
      </c>
      <c r="B17" s="1" t="s">
        <v>5218</v>
      </c>
      <c r="C17" s="1" t="s">
        <v>5214</v>
      </c>
      <c r="D17" s="2" t="s">
        <v>7</v>
      </c>
      <c r="E17" s="3">
        <v>1</v>
      </c>
    </row>
    <row r="18" spans="1:5">
      <c r="A18" s="1" t="s">
        <v>5198</v>
      </c>
      <c r="B18" s="1" t="s">
        <v>5219</v>
      </c>
      <c r="C18" s="1" t="s">
        <v>5214</v>
      </c>
      <c r="D18" s="2" t="s">
        <v>7</v>
      </c>
      <c r="E18" s="3">
        <v>1</v>
      </c>
    </row>
    <row r="19" spans="1:5">
      <c r="A19" s="1" t="s">
        <v>5198</v>
      </c>
      <c r="B19" s="1" t="s">
        <v>5220</v>
      </c>
      <c r="C19" s="1" t="s">
        <v>5214</v>
      </c>
      <c r="D19" s="2" t="s">
        <v>7</v>
      </c>
      <c r="E19" s="3">
        <v>1</v>
      </c>
    </row>
    <row r="20" spans="1:5">
      <c r="A20" s="1" t="s">
        <v>5198</v>
      </c>
      <c r="B20" s="1" t="s">
        <v>5221</v>
      </c>
      <c r="C20" s="1" t="s">
        <v>5214</v>
      </c>
      <c r="D20" s="2" t="s">
        <v>7</v>
      </c>
      <c r="E20" s="3">
        <v>1</v>
      </c>
    </row>
    <row r="21" spans="1:5">
      <c r="A21" s="1" t="s">
        <v>5198</v>
      </c>
      <c r="B21" s="1" t="s">
        <v>5222</v>
      </c>
      <c r="C21" s="1" t="s">
        <v>5214</v>
      </c>
      <c r="D21" s="2" t="s">
        <v>7</v>
      </c>
      <c r="E21" s="3">
        <v>1</v>
      </c>
    </row>
    <row r="22" spans="1:5">
      <c r="A22" s="1" t="s">
        <v>5198</v>
      </c>
      <c r="B22" s="1" t="s">
        <v>5223</v>
      </c>
      <c r="C22" s="1" t="s">
        <v>5214</v>
      </c>
      <c r="D22" s="2" t="s">
        <v>7</v>
      </c>
      <c r="E22" s="3">
        <v>1</v>
      </c>
    </row>
    <row r="23" spans="1:5">
      <c r="A23" s="1" t="s">
        <v>5198</v>
      </c>
      <c r="B23" s="1" t="s">
        <v>5224</v>
      </c>
      <c r="C23" s="1" t="s">
        <v>5214</v>
      </c>
      <c r="D23" s="2" t="s">
        <v>7</v>
      </c>
      <c r="E23" s="3">
        <v>1</v>
      </c>
    </row>
    <row r="24" spans="1:5">
      <c r="A24" s="1" t="s">
        <v>5198</v>
      </c>
      <c r="B24" s="1" t="s">
        <v>5225</v>
      </c>
      <c r="C24" s="1" t="s">
        <v>5214</v>
      </c>
      <c r="D24" s="2" t="s">
        <v>7</v>
      </c>
      <c r="E24" s="3">
        <v>1</v>
      </c>
    </row>
    <row r="25" spans="1:5">
      <c r="A25" s="1" t="s">
        <v>5198</v>
      </c>
      <c r="B25" s="1" t="s">
        <v>5226</v>
      </c>
      <c r="C25" s="1" t="s">
        <v>5214</v>
      </c>
      <c r="D25" s="2" t="s">
        <v>7</v>
      </c>
      <c r="E25" s="3">
        <v>1</v>
      </c>
    </row>
    <row r="26" spans="1:5">
      <c r="A26" s="1" t="s">
        <v>5198</v>
      </c>
      <c r="B26" s="1" t="s">
        <v>5227</v>
      </c>
      <c r="C26" s="1" t="s">
        <v>5214</v>
      </c>
      <c r="D26" s="2" t="s">
        <v>7</v>
      </c>
      <c r="E26" s="3">
        <v>1</v>
      </c>
    </row>
    <row r="27" spans="1:5">
      <c r="A27" s="1" t="s">
        <v>5198</v>
      </c>
      <c r="B27" s="1" t="s">
        <v>5228</v>
      </c>
      <c r="C27" s="1" t="s">
        <v>5214</v>
      </c>
      <c r="D27" s="2" t="s">
        <v>7</v>
      </c>
      <c r="E27" s="3">
        <v>1</v>
      </c>
    </row>
    <row r="28" spans="1:5">
      <c r="A28" s="1" t="s">
        <v>5198</v>
      </c>
      <c r="B28" s="1" t="s">
        <v>5229</v>
      </c>
      <c r="C28" s="1" t="s">
        <v>5214</v>
      </c>
      <c r="D28" s="2" t="s">
        <v>7</v>
      </c>
      <c r="E28" s="3">
        <v>1</v>
      </c>
    </row>
    <row r="29" spans="1:5">
      <c r="A29" s="1" t="s">
        <v>5198</v>
      </c>
      <c r="B29" s="1" t="s">
        <v>5230</v>
      </c>
      <c r="C29" s="1" t="s">
        <v>5214</v>
      </c>
      <c r="D29" s="2" t="s">
        <v>7</v>
      </c>
      <c r="E29" s="3">
        <v>1</v>
      </c>
    </row>
    <row r="30" spans="1:5">
      <c r="A30" s="1" t="s">
        <v>5198</v>
      </c>
      <c r="B30" s="1" t="s">
        <v>5231</v>
      </c>
      <c r="C30" s="1" t="s">
        <v>5214</v>
      </c>
      <c r="D30" s="2" t="s">
        <v>7</v>
      </c>
      <c r="E30" s="3">
        <v>1</v>
      </c>
    </row>
    <row r="31" spans="1:5">
      <c r="A31" s="1" t="s">
        <v>5198</v>
      </c>
      <c r="B31" s="1" t="s">
        <v>5232</v>
      </c>
      <c r="C31" s="1" t="s">
        <v>5214</v>
      </c>
      <c r="D31" s="2" t="s">
        <v>7</v>
      </c>
      <c r="E31" s="3">
        <v>1</v>
      </c>
    </row>
    <row r="32" spans="1:5">
      <c r="A32" s="1" t="s">
        <v>5198</v>
      </c>
      <c r="B32" s="1" t="s">
        <v>5233</v>
      </c>
      <c r="C32" s="1" t="s">
        <v>5214</v>
      </c>
      <c r="D32" s="2" t="s">
        <v>7</v>
      </c>
      <c r="E32" s="3">
        <v>1</v>
      </c>
    </row>
    <row r="33" spans="1:5">
      <c r="A33" s="1" t="s">
        <v>5198</v>
      </c>
      <c r="B33" s="1" t="s">
        <v>5234</v>
      </c>
      <c r="C33" s="1" t="s">
        <v>5214</v>
      </c>
      <c r="D33" s="2" t="s">
        <v>7</v>
      </c>
      <c r="E33" s="3">
        <v>1</v>
      </c>
    </row>
    <row r="34" spans="1:5">
      <c r="A34" s="1" t="s">
        <v>5198</v>
      </c>
      <c r="B34" s="1" t="s">
        <v>5235</v>
      </c>
      <c r="C34" s="1" t="s">
        <v>5214</v>
      </c>
      <c r="D34" s="2" t="s">
        <v>7</v>
      </c>
      <c r="E34" s="3">
        <v>1</v>
      </c>
    </row>
    <row r="35" spans="1:5">
      <c r="A35" s="1" t="s">
        <v>5198</v>
      </c>
      <c r="B35" s="1" t="s">
        <v>5236</v>
      </c>
      <c r="C35" s="1" t="s">
        <v>5214</v>
      </c>
      <c r="D35" s="2" t="s">
        <v>7</v>
      </c>
      <c r="E35" s="3">
        <v>1</v>
      </c>
    </row>
    <row r="36" spans="1:5">
      <c r="A36" s="1" t="s">
        <v>5198</v>
      </c>
      <c r="B36" s="1" t="s">
        <v>5237</v>
      </c>
      <c r="C36" s="1" t="s">
        <v>5214</v>
      </c>
      <c r="D36" s="2" t="s">
        <v>7</v>
      </c>
      <c r="E36" s="3">
        <v>1</v>
      </c>
    </row>
    <row r="37" spans="1:5">
      <c r="A37" s="1" t="s">
        <v>5198</v>
      </c>
      <c r="B37" s="1" t="s">
        <v>5238</v>
      </c>
      <c r="C37" s="1" t="s">
        <v>5214</v>
      </c>
      <c r="D37" s="2" t="s">
        <v>7</v>
      </c>
      <c r="E37" s="3">
        <v>1</v>
      </c>
    </row>
    <row r="38" spans="1:5">
      <c r="A38" s="1" t="s">
        <v>5198</v>
      </c>
      <c r="B38" s="1" t="s">
        <v>5239</v>
      </c>
      <c r="C38" s="1" t="s">
        <v>5214</v>
      </c>
      <c r="D38" s="2" t="s">
        <v>7</v>
      </c>
      <c r="E38" s="3">
        <v>1</v>
      </c>
    </row>
    <row r="39" spans="1:5">
      <c r="A39" s="1" t="s">
        <v>5198</v>
      </c>
      <c r="B39" s="1" t="s">
        <v>5240</v>
      </c>
      <c r="C39" s="1" t="s">
        <v>5214</v>
      </c>
      <c r="D39" s="2" t="s">
        <v>7</v>
      </c>
      <c r="E39" s="3">
        <v>1</v>
      </c>
    </row>
    <row r="40" spans="1:5">
      <c r="A40" s="1" t="s">
        <v>5198</v>
      </c>
      <c r="B40" s="1" t="s">
        <v>5241</v>
      </c>
      <c r="C40" s="1" t="s">
        <v>5214</v>
      </c>
      <c r="D40" s="2" t="s">
        <v>7</v>
      </c>
      <c r="E40" s="3">
        <v>1</v>
      </c>
    </row>
    <row r="41" spans="1:5">
      <c r="A41" s="1" t="s">
        <v>5198</v>
      </c>
      <c r="B41" s="1" t="s">
        <v>5242</v>
      </c>
      <c r="C41" s="1" t="s">
        <v>5214</v>
      </c>
      <c r="D41" s="2" t="s">
        <v>7</v>
      </c>
      <c r="E41" s="3">
        <v>1</v>
      </c>
    </row>
    <row r="42" spans="1:5">
      <c r="A42" s="1" t="s">
        <v>5198</v>
      </c>
      <c r="B42" s="1" t="s">
        <v>5243</v>
      </c>
      <c r="C42" s="1" t="s">
        <v>5214</v>
      </c>
      <c r="D42" s="2" t="s">
        <v>7</v>
      </c>
      <c r="E42" s="3">
        <v>1</v>
      </c>
    </row>
    <row r="43" spans="1:5">
      <c r="A43" s="1" t="s">
        <v>5198</v>
      </c>
      <c r="B43" s="1" t="s">
        <v>5244</v>
      </c>
      <c r="C43" s="1" t="s">
        <v>5214</v>
      </c>
      <c r="D43" s="2" t="s">
        <v>7</v>
      </c>
      <c r="E43" s="3">
        <v>1</v>
      </c>
    </row>
    <row r="44" spans="1:5">
      <c r="A44" s="1" t="s">
        <v>5198</v>
      </c>
      <c r="B44" s="1" t="s">
        <v>5245</v>
      </c>
      <c r="C44" s="1" t="s">
        <v>5214</v>
      </c>
      <c r="D44" s="2" t="s">
        <v>7</v>
      </c>
      <c r="E44" s="3">
        <v>1</v>
      </c>
    </row>
    <row r="45" spans="1:5">
      <c r="A45" s="1" t="s">
        <v>5198</v>
      </c>
      <c r="B45" s="1" t="s">
        <v>5246</v>
      </c>
      <c r="C45" s="1" t="s">
        <v>5214</v>
      </c>
      <c r="D45" s="2" t="s">
        <v>7</v>
      </c>
      <c r="E45" s="3">
        <v>1</v>
      </c>
    </row>
    <row r="46" spans="1:5">
      <c r="A46" s="1" t="s">
        <v>5198</v>
      </c>
      <c r="B46" s="1" t="s">
        <v>5247</v>
      </c>
      <c r="C46" s="1" t="s">
        <v>5214</v>
      </c>
      <c r="D46" s="2" t="s">
        <v>7</v>
      </c>
      <c r="E46" s="3">
        <v>1</v>
      </c>
    </row>
    <row r="47" spans="1:5">
      <c r="A47" s="1" t="s">
        <v>5198</v>
      </c>
      <c r="B47" s="1" t="s">
        <v>5248</v>
      </c>
      <c r="C47" s="1" t="s">
        <v>5214</v>
      </c>
      <c r="D47" s="2" t="s">
        <v>7</v>
      </c>
      <c r="E47" s="3">
        <v>1</v>
      </c>
    </row>
    <row r="48" spans="1:5">
      <c r="A48" s="1" t="s">
        <v>5198</v>
      </c>
      <c r="B48" s="1" t="s">
        <v>5249</v>
      </c>
      <c r="C48" s="1" t="s">
        <v>5205</v>
      </c>
      <c r="D48" s="2" t="s">
        <v>7</v>
      </c>
      <c r="E48" s="3">
        <v>1</v>
      </c>
    </row>
    <row r="49" spans="1:5">
      <c r="A49" s="1" t="s">
        <v>5198</v>
      </c>
      <c r="B49" s="1" t="s">
        <v>5250</v>
      </c>
      <c r="C49" s="1" t="s">
        <v>4955</v>
      </c>
      <c r="D49" s="2" t="s">
        <v>7</v>
      </c>
      <c r="E49" s="3">
        <v>1</v>
      </c>
    </row>
    <row r="50" spans="1:5">
      <c r="A50" s="1" t="s">
        <v>5198</v>
      </c>
      <c r="B50" s="1" t="s">
        <v>5251</v>
      </c>
      <c r="C50" s="1" t="s">
        <v>4955</v>
      </c>
      <c r="D50" s="2" t="s">
        <v>7</v>
      </c>
      <c r="E50" s="3">
        <v>1</v>
      </c>
    </row>
    <row r="51" spans="1:5">
      <c r="A51" s="1" t="s">
        <v>5198</v>
      </c>
      <c r="B51" s="1"/>
      <c r="C51" s="1" t="s">
        <v>235</v>
      </c>
      <c r="D51" s="2" t="s">
        <v>7</v>
      </c>
      <c r="E51" s="3">
        <v>1</v>
      </c>
    </row>
    <row r="52" spans="1:5">
      <c r="A52" s="1" t="s">
        <v>5198</v>
      </c>
      <c r="B52" s="4"/>
      <c r="C52" s="4" t="s">
        <v>235</v>
      </c>
      <c r="D52" s="2" t="s">
        <v>7</v>
      </c>
      <c r="E52" s="3">
        <v>1</v>
      </c>
    </row>
    <row r="53" spans="1:5">
      <c r="A53" s="1" t="s">
        <v>5198</v>
      </c>
      <c r="B53" s="4"/>
      <c r="C53" s="4" t="s">
        <v>235</v>
      </c>
      <c r="D53" s="2" t="s">
        <v>7</v>
      </c>
      <c r="E53" s="3">
        <v>1</v>
      </c>
    </row>
    <row r="54" spans="1:5">
      <c r="A54" s="1" t="s">
        <v>5198</v>
      </c>
      <c r="B54" s="4"/>
      <c r="C54" s="4" t="s">
        <v>235</v>
      </c>
      <c r="D54" s="2" t="s">
        <v>7</v>
      </c>
      <c r="E54" s="3">
        <v>1</v>
      </c>
    </row>
    <row r="55" spans="1:5">
      <c r="A55" s="1" t="s">
        <v>5198</v>
      </c>
      <c r="B55" s="4"/>
      <c r="C55" s="4" t="s">
        <v>235</v>
      </c>
      <c r="D55" s="2" t="s">
        <v>7</v>
      </c>
      <c r="E55" s="3">
        <v>1</v>
      </c>
    </row>
    <row r="56" ht="27" spans="1:5">
      <c r="A56" s="1" t="s">
        <v>5198</v>
      </c>
      <c r="B56" s="4"/>
      <c r="C56" s="4" t="s">
        <v>175</v>
      </c>
      <c r="D56" s="5" t="s">
        <v>5252</v>
      </c>
      <c r="E56" s="3">
        <v>29</v>
      </c>
    </row>
  </sheetData>
  <autoFilter xmlns:etc="http://www.wps.cn/officeDocument/2017/etCustomData" ref="A1:C5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建筑工程学院</vt:lpstr>
      <vt:lpstr>智能制造与电梯学院</vt:lpstr>
      <vt:lpstr>新能源工程与汽车学院</vt:lpstr>
      <vt:lpstr>-信息工程与物联网学院</vt:lpstr>
      <vt:lpstr>艺术与时尚创意学院</vt:lpstr>
      <vt:lpstr>经济管理与电商学院</vt:lpstr>
      <vt:lpstr>旅游管理学院</vt:lpstr>
      <vt:lpstr>社会发展与公共教育学院</vt:lpstr>
      <vt:lpstr>党群（马院部分）</vt:lpstr>
      <vt:lpstr>公共机房</vt:lpstr>
      <vt:lpstr>继续教育</vt:lpstr>
      <vt:lpstr>创业学院</vt:lpstr>
      <vt:lpstr>各级学院所需耗材纸箱</vt:lpstr>
      <vt:lpstr>实训处高清球形摄像头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DLEE</dc:creator>
  <cp:lastModifiedBy>Administrator</cp:lastModifiedBy>
  <dcterms:created xsi:type="dcterms:W3CDTF">2025-04-08T06:53:00Z</dcterms:created>
  <dcterms:modified xsi:type="dcterms:W3CDTF">2025-05-09T06:43:42Z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C8526DF45F0045D2A5538204708407BA_12</vt:lpwstr>
  </property>
  <property fmtid="{D5CDD505-2E9C-101B-9397-08002B2CF9AE}" pid="3" name="KSOProductBuildVer">
    <vt:lpwstr>2052-12.1.0.21171</vt:lpwstr>
  </property>
</Properties>
</file>